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19320" windowHeight="4080" activeTab="0"/>
  </bookViews>
  <sheets>
    <sheet name="Introduction" sheetId="1" r:id="rId1"/>
    <sheet name="Model" sheetId="2" r:id="rId2"/>
    <sheet name="Structure" sheetId="3" r:id="rId3"/>
    <sheet name="Ref_table" sheetId="4" r:id="rId4"/>
    <sheet name="Table A - Land" sheetId="5" r:id="rId5"/>
    <sheet name="Table B - Biomass-C" sheetId="6" r:id="rId6"/>
    <sheet name="Table C - Water" sheetId="7" r:id="rId7"/>
    <sheet name="Table D - Green Infrastructures" sheetId="8" r:id="rId8"/>
    <sheet name="Table E - Biodiversity" sheetId="9" r:id="rId9"/>
    <sheet name="Table F - Total Potential" sheetId="10" r:id="rId10"/>
    <sheet name="Table G - Demand" sheetId="11" r:id="rId11"/>
    <sheet name="Table H - Physical Balance" sheetId="12" r:id="rId12"/>
    <sheet name="Table I - Units Costs" sheetId="13" r:id="rId13"/>
    <sheet name="Table J - Depreciation" sheetId="14" r:id="rId14"/>
    <sheet name="Table K - ImpExp" sheetId="15" r:id="rId15"/>
    <sheet name="Table L - Macro Benef" sheetId="16" r:id="rId16"/>
    <sheet name="Table M - Adjsuted Aggregates" sheetId="17" r:id="rId17"/>
    <sheet name="Table N - Monetary Balance" sheetId="18" r:id="rId18"/>
  </sheets>
  <externalReferences>
    <externalReference r:id="rId21"/>
  </externalReferences>
  <definedNames>
    <definedName name="_xlnm.Print_Area" localSheetId="3">'Ref_table'!$A$1:$AB$479</definedName>
  </definedNames>
  <calcPr fullCalcOnLoad="1"/>
</workbook>
</file>

<file path=xl/sharedStrings.xml><?xml version="1.0" encoding="utf-8"?>
<sst xmlns="http://schemas.openxmlformats.org/spreadsheetml/2006/main" count="1234" uniqueCount="939">
  <si>
    <t>Sea</t>
  </si>
  <si>
    <t>TOT Land</t>
  </si>
  <si>
    <t>Atmosphere</t>
  </si>
  <si>
    <t>GDP</t>
  </si>
  <si>
    <t>1996</t>
  </si>
  <si>
    <t>1997</t>
  </si>
  <si>
    <t>1998</t>
  </si>
  <si>
    <t>1999</t>
  </si>
  <si>
    <t>2000</t>
  </si>
  <si>
    <t>2001</t>
  </si>
  <si>
    <t>2002</t>
  </si>
  <si>
    <t>2003</t>
  </si>
  <si>
    <t>2004</t>
  </si>
  <si>
    <t>t1 (1995)</t>
  </si>
  <si>
    <t>Consumption of Fixed Capital</t>
  </si>
  <si>
    <t>A1</t>
  </si>
  <si>
    <t>A2</t>
  </si>
  <si>
    <t>A3</t>
  </si>
  <si>
    <t>B1</t>
  </si>
  <si>
    <t>B2</t>
  </si>
  <si>
    <t>B3</t>
  </si>
  <si>
    <t>B5</t>
  </si>
  <si>
    <t>B6</t>
  </si>
  <si>
    <t>B7</t>
  </si>
  <si>
    <t>B8</t>
  </si>
  <si>
    <t>B9</t>
  </si>
  <si>
    <t>B10</t>
  </si>
  <si>
    <t>B11</t>
  </si>
  <si>
    <t>B12</t>
  </si>
  <si>
    <t>% Final Consumption at Full Price/ FC Purchaser Price</t>
  </si>
  <si>
    <t>% Imports at Full Price/ Imports CIF</t>
  </si>
  <si>
    <t>Final Consumption</t>
  </si>
  <si>
    <t>Composite landscape</t>
  </si>
  <si>
    <t>1 Artificial surfaces</t>
  </si>
  <si>
    <t>Precipitation</t>
  </si>
  <si>
    <t>Inland ecosytem landscapes</t>
  </si>
  <si>
    <t>C1</t>
  </si>
  <si>
    <t>C2</t>
  </si>
  <si>
    <t>C6</t>
  </si>
  <si>
    <t>C7</t>
  </si>
  <si>
    <t>C8</t>
  </si>
  <si>
    <t>C9</t>
  </si>
  <si>
    <t>D1</t>
  </si>
  <si>
    <t>D2</t>
  </si>
  <si>
    <t>D4</t>
  </si>
  <si>
    <t>D5</t>
  </si>
  <si>
    <t>c31</t>
  </si>
  <si>
    <t>c32</t>
  </si>
  <si>
    <t>c33</t>
  </si>
  <si>
    <t>c34</t>
  </si>
  <si>
    <t>Stock accounts</t>
  </si>
  <si>
    <t>C5</t>
  </si>
  <si>
    <t>C10</t>
  </si>
  <si>
    <t>c11</t>
  </si>
  <si>
    <t>c12</t>
  </si>
  <si>
    <t>c13</t>
  </si>
  <si>
    <t>c14</t>
  </si>
  <si>
    <t>Change in GEI</t>
  </si>
  <si>
    <t>Change in GEI %</t>
  </si>
  <si>
    <t xml:space="preserve">Aquifers </t>
  </si>
  <si>
    <t xml:space="preserve">Rivers </t>
  </si>
  <si>
    <t xml:space="preserve">Lakes and dams </t>
  </si>
  <si>
    <t>of which Inaccessible runoff (flood…)</t>
  </si>
  <si>
    <t>F3</t>
  </si>
  <si>
    <t>G1</t>
  </si>
  <si>
    <t>c35</t>
  </si>
  <si>
    <t>c21</t>
  </si>
  <si>
    <t>c22</t>
  </si>
  <si>
    <t>c23</t>
  </si>
  <si>
    <t>c24</t>
  </si>
  <si>
    <t>Net removal/crops</t>
  </si>
  <si>
    <t>Net removal/grazing</t>
  </si>
  <si>
    <t>Net removal/timber</t>
  </si>
  <si>
    <t>b41</t>
  </si>
  <si>
    <t>b42</t>
  </si>
  <si>
    <t>b43</t>
  </si>
  <si>
    <t>b44</t>
  </si>
  <si>
    <t>b45</t>
  </si>
  <si>
    <t>b47</t>
  </si>
  <si>
    <t>c37</t>
  </si>
  <si>
    <t>c38</t>
  </si>
  <si>
    <t>c40</t>
  </si>
  <si>
    <t>c41</t>
  </si>
  <si>
    <t>c42</t>
  </si>
  <si>
    <t>Air pollution</t>
  </si>
  <si>
    <t>Mean annual C increase %</t>
  </si>
  <si>
    <t>b31</t>
  </si>
  <si>
    <t>b32</t>
  </si>
  <si>
    <t>2A Arable land &amp; permanent crops</t>
  </si>
  <si>
    <t>2B Pastures &amp; mosaic farmland</t>
  </si>
  <si>
    <t>3B Natural grassland, heathland, sclerophylous vegetation</t>
  </si>
  <si>
    <t>3C Open space with little or no vegetation</t>
  </si>
  <si>
    <t>4 Wetlands</t>
  </si>
  <si>
    <t>5 Water bodies</t>
  </si>
  <si>
    <t>Mean annual net change in LEP</t>
  </si>
  <si>
    <t>Mean annual losses in LEP</t>
  </si>
  <si>
    <t>Mean annual gains in LEP</t>
  </si>
  <si>
    <t>b481</t>
  </si>
  <si>
    <t>b482</t>
  </si>
  <si>
    <t>b11</t>
  </si>
  <si>
    <t>b12</t>
  </si>
  <si>
    <t>b21</t>
  </si>
  <si>
    <t>b22</t>
  </si>
  <si>
    <t>Deforestation (forest land uptake by agriculture or urban sprawl)</t>
  </si>
  <si>
    <t>Conversion of pasture/grassland to cropland</t>
  </si>
  <si>
    <t>g11</t>
  </si>
  <si>
    <t>Pollution/ Use of chemicals in agriculture, forestry</t>
  </si>
  <si>
    <t>Pollution/ Waste dumping</t>
  </si>
  <si>
    <t>Clearing of forest beyond mean NEP</t>
  </si>
  <si>
    <t>g12</t>
  </si>
  <si>
    <t>g21</t>
  </si>
  <si>
    <t>Urban and infrastructures development over agriculture</t>
  </si>
  <si>
    <t>g22</t>
  </si>
  <si>
    <t>Emission of GHGs</t>
  </si>
  <si>
    <t>Overfishing</t>
  </si>
  <si>
    <t>Comments</t>
  </si>
  <si>
    <t>Abatment of 5 m3/ha, 1 m3 = 150€</t>
  </si>
  <si>
    <t>Water pollution</t>
  </si>
  <si>
    <t>20% reduction landing, from 5000000t at 1400€/t</t>
  </si>
  <si>
    <t>Cost of restoration/abatment programme €</t>
  </si>
  <si>
    <t>b49</t>
  </si>
  <si>
    <t>b483</t>
  </si>
  <si>
    <t>b484</t>
  </si>
  <si>
    <t>b491</t>
  </si>
  <si>
    <t>b492</t>
  </si>
  <si>
    <t>B4 Mean annual carbon/biomass account and NECB</t>
  </si>
  <si>
    <t>A = Total area% WHERE NECB_Soil &lt; or = 0</t>
  </si>
  <si>
    <t xml:space="preserve"> B =  area% of SELU WHERE NECB_Trees &amp; shrubs &lt; NEP surplus</t>
  </si>
  <si>
    <t>Carbon stress coefficient t1 (~1995) ([b81+b82)/100)</t>
  </si>
  <si>
    <t>b51</t>
  </si>
  <si>
    <t>b52</t>
  </si>
  <si>
    <t>b61</t>
  </si>
  <si>
    <t>b62</t>
  </si>
  <si>
    <t>Leakages to water bodies / erosion, DOC</t>
  </si>
  <si>
    <t>Leakages to the atmosphere/ fires, VOC</t>
  </si>
  <si>
    <t>C6-C5</t>
  </si>
  <si>
    <t>B8-B7</t>
  </si>
  <si>
    <t>C11</t>
  </si>
  <si>
    <t>C12</t>
  </si>
  <si>
    <t>C13</t>
  </si>
  <si>
    <t>C14</t>
  </si>
  <si>
    <t>C10-C9</t>
  </si>
  <si>
    <t>Limiting factors to C access: access to other services and maintenance of ecosystem functions</t>
  </si>
  <si>
    <t>d31</t>
  </si>
  <si>
    <t>E5</t>
  </si>
  <si>
    <t>E6</t>
  </si>
  <si>
    <t>E11</t>
  </si>
  <si>
    <t>E12</t>
  </si>
  <si>
    <t>3A Forests and transitional woodland</t>
  </si>
  <si>
    <t>Dominant urban landscape</t>
  </si>
  <si>
    <t>Dominant agriculture/ cropland</t>
  </si>
  <si>
    <t>Dominant forested landscape</t>
  </si>
  <si>
    <t>Other dominant natural landscape</t>
  </si>
  <si>
    <t>Dominant agriculture/ mixed landscape</t>
  </si>
  <si>
    <t>lf11 Artificial development over agriculture</t>
  </si>
  <si>
    <t>lf12 Artificial development over forests</t>
  </si>
  <si>
    <t>lf13 Artificial development of other natural land cover</t>
  </si>
  <si>
    <t>lf14 Conversion from small fields agriculture and pasture to broad pattern cropland</t>
  </si>
  <si>
    <t>lf15 Conversion from forest to agriculture</t>
  </si>
  <si>
    <t>lf16 Conversion from marginal land to agriculture</t>
  </si>
  <si>
    <t>lf17 Water bodies creation and management</t>
  </si>
  <si>
    <t>lf2 Land restoration processes</t>
  </si>
  <si>
    <t>lf21 Conversion from crops to set aside, fallow land and pasture</t>
  </si>
  <si>
    <t>lf22 Withdrawal of farming</t>
  </si>
  <si>
    <t>lf23 Forest creation, afforestation of agriculture land</t>
  </si>
  <si>
    <t>lf3 Rotations, natural processes and steady state</t>
  </si>
  <si>
    <t>lf31 Internal conversion of artificial surfaces</t>
  </si>
  <si>
    <t>lf32 Internal conversion between agriculture crop types</t>
  </si>
  <si>
    <t>lf34 Forests conversions and recruitment</t>
  </si>
  <si>
    <t>lf35 Changes of land cover due to natural and multiple causes</t>
  </si>
  <si>
    <t>lf4 No observed land cover change [A1-A2]</t>
  </si>
  <si>
    <t>lf5 Change of dominant landscape type [A3-A1]</t>
  </si>
  <si>
    <t>lf33 Recent tree clearing and forest transition</t>
  </si>
  <si>
    <t>a21</t>
  </si>
  <si>
    <t>a211</t>
  </si>
  <si>
    <t>a212</t>
  </si>
  <si>
    <t>a213</t>
  </si>
  <si>
    <t>a214</t>
  </si>
  <si>
    <t>a215</t>
  </si>
  <si>
    <t>a216</t>
  </si>
  <si>
    <t>a217</t>
  </si>
  <si>
    <t>a22</t>
  </si>
  <si>
    <t>a221</t>
  </si>
  <si>
    <t>a222</t>
  </si>
  <si>
    <t>a223</t>
  </si>
  <si>
    <t>a23</t>
  </si>
  <si>
    <t>a231</t>
  </si>
  <si>
    <t>a232</t>
  </si>
  <si>
    <t>a233</t>
  </si>
  <si>
    <t>a234</t>
  </si>
  <si>
    <t>a235</t>
  </si>
  <si>
    <t>a24</t>
  </si>
  <si>
    <t>a11</t>
  </si>
  <si>
    <t>a12</t>
  </si>
  <si>
    <t>a13</t>
  </si>
  <si>
    <t>a14</t>
  </si>
  <si>
    <t>a15</t>
  </si>
  <si>
    <t>a16</t>
  </si>
  <si>
    <t>a17</t>
  </si>
  <si>
    <t>a18</t>
  </si>
  <si>
    <t>a31</t>
  </si>
  <si>
    <t>a32</t>
  </si>
  <si>
    <t>a33</t>
  </si>
  <si>
    <t>a34</t>
  </si>
  <si>
    <t>a35</t>
  </si>
  <si>
    <t>a36</t>
  </si>
  <si>
    <t>a37</t>
  </si>
  <si>
    <t>a38</t>
  </si>
  <si>
    <t>Change in total accessible water [C6-55]</t>
  </si>
  <si>
    <t>Stock t1 (~1995), 10^6 tonnes of C</t>
  </si>
  <si>
    <t>Stock t1 (~1995), 10^6 tonnes of C/ trees &amp; shrubs</t>
  </si>
  <si>
    <t>GPP 10^6 tonnes of C</t>
  </si>
  <si>
    <t>NPP 10^6 tonnes of C</t>
  </si>
  <si>
    <t>NEP 10^6 tonnes of C</t>
  </si>
  <si>
    <t>NEP Surplus 10^6 tonnes of C [b45-b46] (NB: includes effects of LUC)</t>
  </si>
  <si>
    <t>mean NECB (~1995-~2005), 10^6 tonnes of C_soil</t>
  </si>
  <si>
    <t>mean NECB (~1995-~2005), 10^6 tonnes of C_trees &amp; shrubs</t>
  </si>
  <si>
    <t>Use of biological carbon (removals) t1 (~1995), weighted 10^6 tonnes of C [b481+b482+b483-b484]</t>
  </si>
  <si>
    <t>Relative change % = functional gain (+) or loss (-), 0 to 100 scale</t>
  </si>
  <si>
    <t>control</t>
  </si>
  <si>
    <t>F4</t>
  </si>
  <si>
    <t>F4-F3</t>
  </si>
  <si>
    <t>F5</t>
  </si>
  <si>
    <t>F6</t>
  </si>
  <si>
    <t>F7</t>
  </si>
  <si>
    <t>F8</t>
  </si>
  <si>
    <t>F9</t>
  </si>
  <si>
    <t>Cost of restoration €/ha</t>
  </si>
  <si>
    <t>Returns of water to soil/losses in transport</t>
  </si>
  <si>
    <t>Rivers - srkm</t>
  </si>
  <si>
    <t>c111</t>
  </si>
  <si>
    <t>c121</t>
  </si>
  <si>
    <t>c131</t>
  </si>
  <si>
    <t>c141</t>
  </si>
  <si>
    <t>c211</t>
  </si>
  <si>
    <t>c221</t>
  </si>
  <si>
    <t>c231</t>
  </si>
  <si>
    <t>c241</t>
  </si>
  <si>
    <t>of which aquifers accessible water stock</t>
  </si>
  <si>
    <t>of which soil accessible water stock</t>
  </si>
  <si>
    <t>of which rivers accessible water stock</t>
  </si>
  <si>
    <t>of which lakes and dams accessible water stock</t>
  </si>
  <si>
    <t>of which reserved runoff/ dillution of pollution, biological needs</t>
  </si>
  <si>
    <t>Change in Net Ecosystem Accessible Water [C10-C9]</t>
  </si>
  <si>
    <t>Landscape Ecosystem Potential</t>
  </si>
  <si>
    <t>Rivers</t>
  </si>
  <si>
    <t>Rivers Ecosystem Potential</t>
  </si>
  <si>
    <t>D7</t>
  </si>
  <si>
    <t>D8</t>
  </si>
  <si>
    <t>D9</t>
  </si>
  <si>
    <t>D10</t>
  </si>
  <si>
    <t>Brooks, streams</t>
  </si>
  <si>
    <t>Small rivers</t>
  </si>
  <si>
    <t>Medium rivers</t>
  </si>
  <si>
    <t>Large rivers</t>
  </si>
  <si>
    <t>D11</t>
  </si>
  <si>
    <t>Water quality</t>
  </si>
  <si>
    <t>Fragmentation</t>
  </si>
  <si>
    <t>Change in REP</t>
  </si>
  <si>
    <t>Mean GEI t1 (~1995)/points by km^2</t>
  </si>
  <si>
    <t>Total EU27 1990, km^2</t>
  </si>
  <si>
    <t>Land cover change, total flows 1990-2006, km^2 [lcf1+lcf2+lcf3]</t>
  </si>
  <si>
    <t>Total EU27 2006, km^2</t>
  </si>
  <si>
    <t>10% French yields, cereals, 70 qtx/ha (700 t/km^2), 160€/t</t>
  </si>
  <si>
    <t>French yields, cereals, 70 qtx/ha (700 t/km^2), 160€/t</t>
  </si>
  <si>
    <t>Virtual or embedded land in "consumed imports", agriculture, km^2</t>
  </si>
  <si>
    <t>D16</t>
  </si>
  <si>
    <t>Biodiversity Infrastructure Integrity Index</t>
  </si>
  <si>
    <t>Change in species/biotopes diagnosis index</t>
  </si>
  <si>
    <t>Rivers green ecotones</t>
  </si>
  <si>
    <t>Rivers Ecosystem Potential (REP) t1 (~1995), weighted 10^3 srkm</t>
  </si>
  <si>
    <t>River infrastructure in km</t>
  </si>
  <si>
    <t>D17</t>
  </si>
  <si>
    <t>E1</t>
  </si>
  <si>
    <t>E2</t>
  </si>
  <si>
    <t>E4</t>
  </si>
  <si>
    <t>D11-D10</t>
  </si>
  <si>
    <t>Ecosystem's Biodiversity Rating</t>
  </si>
  <si>
    <t>Species/biotopes diagnosis</t>
  </si>
  <si>
    <t>Species/biotopes diagnosis index, SBD t1 (~1995), 0-100</t>
  </si>
  <si>
    <t>20% of actual expenditure water at 28% of TOT_Exp*1.76%*gdp 2005</t>
  </si>
  <si>
    <t>20% of actual expenditure waste at 40% of TOT_Exp*1.76%*gdp 2006</t>
  </si>
  <si>
    <t>20% of actual expenditure air pollution at 10% of TOT_Exp*1.76%*gdp 2007</t>
  </si>
  <si>
    <t>Mean Rivers Ecosystem Potential (REP) t1 (~1995)/ points by km^2</t>
  </si>
  <si>
    <t>Mean Landscape Ecosystem Potential (LEP) by km^2, t1 (~1995), 0-100 scale</t>
  </si>
  <si>
    <t>E6-E5</t>
  </si>
  <si>
    <t>Change in BIII</t>
  </si>
  <si>
    <t>Change in BIII %</t>
  </si>
  <si>
    <t xml:space="preserve">Mean Biodiversity Infrastructure Integrity index (BII) by km^2, t1 (~1995) </t>
  </si>
  <si>
    <t>b485</t>
  </si>
  <si>
    <t>Net removal/fish</t>
  </si>
  <si>
    <t>International</t>
  </si>
  <si>
    <t>[20000000]</t>
  </si>
  <si>
    <t>Fisheries (EEZ, all fishing areas)</t>
  </si>
  <si>
    <t>River infrastructure potential in 10^3 Standard-River-Kilometer (1 srkm = 1 km*1m^3/second)</t>
  </si>
  <si>
    <t>TOTAL 1 inland ecosystems</t>
  </si>
  <si>
    <t>TOTAL     Land</t>
  </si>
  <si>
    <t>TOTAL  Fisheries</t>
  </si>
  <si>
    <t>Regulation potential    (C sequestration)</t>
  </si>
  <si>
    <t>Annual increase</t>
  </si>
  <si>
    <t>1990 ppm</t>
  </si>
  <si>
    <t>2010 ppm</t>
  </si>
  <si>
    <t>+ 2 degrees C ppm</t>
  </si>
  <si>
    <t>+ 1.5 degrees C ppm</t>
  </si>
  <si>
    <t>mio €</t>
  </si>
  <si>
    <t xml:space="preserve">0.5 degree C = </t>
  </si>
  <si>
    <t>Europe share % GDP</t>
  </si>
  <si>
    <t xml:space="preserve">CO2-e/CO2 = </t>
  </si>
  <si>
    <t xml:space="preserve">CO2 </t>
  </si>
  <si>
    <t>CO2-e</t>
  </si>
  <si>
    <t>1012 US$</t>
  </si>
  <si>
    <t>Atmos regulation potential = 2degr</t>
  </si>
  <si>
    <t>Source</t>
  </si>
  <si>
    <t>Temp increase related to 100 ppm</t>
  </si>
  <si>
    <t>Historic data, 420 000 y</t>
  </si>
  <si>
    <t>Our model</t>
  </si>
  <si>
    <t>5,45</t>
  </si>
  <si>
    <t>IPCC model</t>
  </si>
  <si>
    <t>1,1</t>
  </si>
  <si>
    <t>2 degrees</t>
  </si>
  <si>
    <t>220 ppm ipcc</t>
  </si>
  <si>
    <t>TOT atmosphere = 5*10^15 tonnes</t>
  </si>
  <si>
    <t>1 ppm = 5*10^9 tonnes atmosphere</t>
  </si>
  <si>
    <t>1 ppm = 7.7*10^9 tonnes GHG</t>
  </si>
  <si>
    <t>1.65 ppm /year</t>
  </si>
  <si>
    <t>power</t>
  </si>
  <si>
    <t>Regulation potential         (2 degrees or 220 ppm CO2-e)</t>
  </si>
  <si>
    <t xml:space="preserve">Gains in TEPE by restoration of 1 km^2 </t>
  </si>
  <si>
    <t>Similar yield abatment</t>
  </si>
  <si>
    <t>GRAND TOTAL</t>
  </si>
  <si>
    <t>S/TOTAL  Land</t>
  </si>
  <si>
    <t>f91</t>
  </si>
  <si>
    <t>f92</t>
  </si>
  <si>
    <t>f93</t>
  </si>
  <si>
    <t>f94</t>
  </si>
  <si>
    <t>Mean cost from American forest report</t>
  </si>
  <si>
    <t>15 € by linear metre of hedgerow, 200 m by ha (UK source)</t>
  </si>
  <si>
    <t>Total = 1% gdp = annual expenditure to maintain atmosphere potential of 2 degree (=220 ppm CO2-e)</t>
  </si>
  <si>
    <t>2% annual increase price</t>
  </si>
  <si>
    <t xml:space="preserve">Non paid ecosystem depreciation/ "consumed imports", agriculture &amp; forest, at EU mean price </t>
  </si>
  <si>
    <t xml:space="preserve">Hydrological system   </t>
  </si>
  <si>
    <t>Non paid ecosystem depreciation/ "consumed imports", CO2-e potential</t>
  </si>
  <si>
    <t>Non paid ecosystem depreciation/ "consumed imports", fisheries potential</t>
  </si>
  <si>
    <t>mean TEPE.km2,argi ecosystems in € =</t>
  </si>
  <si>
    <t>TOT GDP 1995-2005</t>
  </si>
  <si>
    <t>G2</t>
  </si>
  <si>
    <t>G3</t>
  </si>
  <si>
    <t>J1</t>
  </si>
  <si>
    <t>Ecosystem capital depreciation virtually embedded into imports (total)</t>
  </si>
  <si>
    <t>Imports CIF</t>
  </si>
  <si>
    <t>Exports FOB</t>
  </si>
  <si>
    <t>Ecosystem capital depreciation virtually embedded into exports (total)</t>
  </si>
  <si>
    <t>% Exports at Full Price / Export FOB</t>
  </si>
  <si>
    <t>Adjusted aggregates</t>
  </si>
  <si>
    <t>TOTAL 1  inland ecosystems</t>
  </si>
  <si>
    <t>Climate regulation potential</t>
  </si>
  <si>
    <t>Stock t10 (~ 2005), 10^6 tonnes of C</t>
  </si>
  <si>
    <t>Stock t10 (~2005), 10^6 tonnes of C/ soil</t>
  </si>
  <si>
    <t>Stock t10 (~2005), 10^6 tonnes of C/ trees &amp; shrubs</t>
  </si>
  <si>
    <t>Change t10-t1, , 10^6 tonnes of C</t>
  </si>
  <si>
    <t>Change t10-t1, , 10^6 tonnes of  C/ soil</t>
  </si>
  <si>
    <t>Change t10-t1, , 10^6 tonnes of C/ trees &amp; shrub</t>
  </si>
  <si>
    <t xml:space="preserve">Carbon stress coefficient t10 (~2005) </t>
  </si>
  <si>
    <t>Mean Landscape Ecosystem Potential (LEP) by km^2, t10 (~2005), 0-100 scale</t>
  </si>
  <si>
    <t>Rivers Ecosystem Potential (REP) t10 (~2005), weighted 10^3 srkm</t>
  </si>
  <si>
    <t>Mean Rivers Ecosystem Potential (REP) t10 (~2005)/ points by km^2</t>
  </si>
  <si>
    <t>Mean GEI  t10 (~ 2005)/points by km^2</t>
  </si>
  <si>
    <t xml:space="preserve">Mean Biodiversity Infrastructure Integrity index (BII) by km^2, t10 (~2005) </t>
  </si>
  <si>
    <t>Species/biotopes diagnosis index, SBD t10 (~2005), 0-100</t>
  </si>
  <si>
    <t>t10 (2005)</t>
  </si>
  <si>
    <t>Use of biological carbon (removals) t10 (~2005), weighted 10^6 tonnes of C [b481+b482+b483-b484]*0.99</t>
  </si>
  <si>
    <t>c43</t>
  </si>
  <si>
    <t>Soil water</t>
  </si>
  <si>
    <t>Net runoff (external inflows - final outflows)</t>
  </si>
  <si>
    <t>Net spontaneous internal and external transfers</t>
  </si>
  <si>
    <t>c31-c32</t>
  </si>
  <si>
    <t>Evapotranspiration induced by irrigation and other uses</t>
  </si>
  <si>
    <t>Ecosystem Accessible Water Surplus index t1 (~1995), [((C11-C9)/C9))*100]</t>
  </si>
  <si>
    <t>Ecosystem Accessible Water Surplus index t10 (~2005), [((C12-C10)/C10))*100]</t>
  </si>
  <si>
    <t>Water stress coefficient t1 (~1995), [mean+stdv nb of dry days over 30 years/dry days during growing season t1]</t>
  </si>
  <si>
    <t>Water stress coefficient t10 (~2005), [mean+stdv nb of dry days over 30 years/dry days during growing season t10]</t>
  </si>
  <si>
    <t>Urban runoff inflow</t>
  </si>
  <si>
    <t>c362</t>
  </si>
  <si>
    <t>c361</t>
  </si>
  <si>
    <t>Withdrawals of sea water</t>
  </si>
  <si>
    <t>Withdrawals of fresh water (abstraction, diversion to electricity turbine, net storage in reservoirs)</t>
  </si>
  <si>
    <t>c392</t>
  </si>
  <si>
    <t>c391</t>
  </si>
  <si>
    <t>Returns of water/waste water to the sea</t>
  </si>
  <si>
    <t>Returns of water/waste water to water bodies incl. urban runoff outflow</t>
  </si>
  <si>
    <t>Population 2000 (source: Eurostat+Pop_to_CLC_v5)</t>
  </si>
  <si>
    <t>Population 1995 - estimated at 0.98 of 2000</t>
  </si>
  <si>
    <t xml:space="preserve">Population 2005 - estimated at 1.02 of 2000 </t>
  </si>
  <si>
    <t>Change in NEAC</t>
  </si>
  <si>
    <t>Net Ecosystem Accessible Water Surplus</t>
  </si>
  <si>
    <t>Ecosystem Accessible Carbon Surplus index t1 (~1995), [B7/B9*100)] [NB should be &gt;100]</t>
  </si>
  <si>
    <t>Ecosystem Accessible Carbon Surplus index t10 (~2005), [B8/B10*100)] [NB should be &gt;100]</t>
  </si>
  <si>
    <t>Net Ecosystem Accessible Carbon Surplus</t>
  </si>
  <si>
    <t>Net Accessible Ecosystem Carbon</t>
  </si>
  <si>
    <t>Net Accessible Ecosystem Fresh Water</t>
  </si>
  <si>
    <t>Withdrawals of fresh water  t1 (~1995) 10^6 weighted m^3</t>
  </si>
  <si>
    <t>Withdrawals of fresh water  t10 (~2005) 10^6 weighted m^3</t>
  </si>
  <si>
    <t>d11</t>
  </si>
  <si>
    <t>d12</t>
  </si>
  <si>
    <t>d13</t>
  </si>
  <si>
    <t>d21</t>
  </si>
  <si>
    <t>D3</t>
  </si>
  <si>
    <t>d41</t>
  </si>
  <si>
    <t>Mean change</t>
  </si>
  <si>
    <t>d61</t>
  </si>
  <si>
    <t>d62</t>
  </si>
  <si>
    <t>d63</t>
  </si>
  <si>
    <t>D12</t>
  </si>
  <si>
    <t>D13</t>
  </si>
  <si>
    <t>D14</t>
  </si>
  <si>
    <t>D15</t>
  </si>
  <si>
    <t>D18</t>
  </si>
  <si>
    <t>D11-D10 %</t>
  </si>
  <si>
    <t>Green Ecotones Index (GEI)</t>
  </si>
  <si>
    <t>d141</t>
  </si>
  <si>
    <t>d161</t>
  </si>
  <si>
    <t>d162</t>
  </si>
  <si>
    <t>d163</t>
  </si>
  <si>
    <t>d164</t>
  </si>
  <si>
    <t>d171</t>
  </si>
  <si>
    <t>d172</t>
  </si>
  <si>
    <t>d173</t>
  </si>
  <si>
    <t>River integrity composite index, mean value t1 (~1995) [(d171+d172+d173)/3]</t>
  </si>
  <si>
    <t>River integrity composite index, mean value t10 (~2005) [(d181+d182+d183)/3]</t>
  </si>
  <si>
    <t>d181</t>
  </si>
  <si>
    <t>d182</t>
  </si>
  <si>
    <t>d183</t>
  </si>
  <si>
    <t>D19</t>
  </si>
  <si>
    <t>D20</t>
  </si>
  <si>
    <t>D16 = D20-D19</t>
  </si>
  <si>
    <t>D21</t>
  </si>
  <si>
    <t>D22</t>
  </si>
  <si>
    <t>BII = GEI weighted LEP &amp; GEI weighted REP, t1 (~1995) [(SQRT D4*D10)] &amp; [(SQRT D19*D10)]</t>
  </si>
  <si>
    <t>BII = GEI weighted LEP &amp; GEI weighted REP, t10 (~2005)  [(SQRT D6*D11) &amp; [(SQRT D20*D11)]</t>
  </si>
  <si>
    <t>E2-E3</t>
  </si>
  <si>
    <t>E2-3 %</t>
  </si>
  <si>
    <t>Mean Ecosystem Biodiversity Rating (EBR) t1 (~1995), weighted km^2 [SQRT E4*E6]</t>
  </si>
  <si>
    <t>Mean Ecosystem Biodiversity Rating (EBR) t10 (~2005), weighted km^2 [SQRT E5*E7]</t>
  </si>
  <si>
    <t>F1 = B7+D19</t>
  </si>
  <si>
    <t>F2 = B8+D20</t>
  </si>
  <si>
    <t>(F2-F1)/10</t>
  </si>
  <si>
    <t>F6-F5</t>
  </si>
  <si>
    <t>f71</t>
  </si>
  <si>
    <t>f72</t>
  </si>
  <si>
    <t>Mean limiting factors index t1 [(C13+D7+E11)/3] &amp; [(D21+E11)/2]</t>
  </si>
  <si>
    <t>Mean limiting factors index t10 [(C14+D8+E12)/3] &amp; [(D22+E12)/2]</t>
  </si>
  <si>
    <t>Mean GINES_5km demand per km^2 ALL</t>
  </si>
  <si>
    <t>Mean GINES_5km demand per km^2 C1 Artificial</t>
  </si>
  <si>
    <t xml:space="preserve">[A] Land cover &amp; landscape basic account </t>
  </si>
  <si>
    <t>[E] Ecosystem Capital Biodiversity Account:                                                                                                    Biodiversity Infrastructure Integrity (BII) &amp; Ecosystem's Biodiversity Rating (EBR)</t>
  </si>
  <si>
    <t>Mining and quarrying </t>
  </si>
  <si>
    <t>Construction </t>
  </si>
  <si>
    <t>Transportation and storage </t>
  </si>
  <si>
    <t>Agriculture</t>
  </si>
  <si>
    <t>Forestry</t>
  </si>
  <si>
    <t>Fishing </t>
  </si>
  <si>
    <t>Wholesale and retail trade; …</t>
  </si>
  <si>
    <t>Water supply; sewerage, waste management …</t>
  </si>
  <si>
    <t>Other services</t>
  </si>
  <si>
    <t>Households production for own use</t>
  </si>
  <si>
    <t xml:space="preserve">Value added of primary production </t>
  </si>
  <si>
    <t>Manufacturing/ argo-food</t>
  </si>
  <si>
    <t>Electricity, gas… distribution</t>
  </si>
  <si>
    <t>Manufacturing/ chemistry</t>
  </si>
  <si>
    <t>Manufacturing other</t>
  </si>
  <si>
    <t>Primary production, basic price</t>
  </si>
  <si>
    <t>Accommodation and food service</t>
  </si>
  <si>
    <t>TOTAL</t>
  </si>
  <si>
    <t>Subsidies to primary production</t>
  </si>
  <si>
    <t>Total value added induced by primary production of agriculture products</t>
  </si>
  <si>
    <t>Total value added induced by primary production of forestry products</t>
  </si>
  <si>
    <t>Total value added induced by primary production of fishing products</t>
  </si>
  <si>
    <t>Total value added induced by primary production of fresh water supply</t>
  </si>
  <si>
    <t>f81</t>
  </si>
  <si>
    <t>f82</t>
  </si>
  <si>
    <t>K1</t>
  </si>
  <si>
    <t>K2</t>
  </si>
  <si>
    <t>K3</t>
  </si>
  <si>
    <t>K4</t>
  </si>
  <si>
    <t>K5</t>
  </si>
  <si>
    <t>K6</t>
  </si>
  <si>
    <t>K7</t>
  </si>
  <si>
    <t>K8</t>
  </si>
  <si>
    <t>K9</t>
  </si>
  <si>
    <t>K10</t>
  </si>
  <si>
    <t>K10 %</t>
  </si>
  <si>
    <t>K11</t>
  </si>
  <si>
    <t>K11 %</t>
  </si>
  <si>
    <t>Land ecosystems</t>
  </si>
  <si>
    <t>River ecosystems</t>
  </si>
  <si>
    <t>Regulation potential (C assimilation)</t>
  </si>
  <si>
    <t>B8-B7/10</t>
  </si>
  <si>
    <t>Mean Annual Change in NEAC %</t>
  </si>
  <si>
    <t>Change in Total Ecosystem Potential &amp; Ecosystem capital degradation</t>
  </si>
  <si>
    <t>Reduction of physical liabilities</t>
  </si>
  <si>
    <t>Reduction of physical liabilities by swaps and debts consolidation</t>
  </si>
  <si>
    <t>Acquisition of new physical liabilities</t>
  </si>
  <si>
    <t>L8</t>
  </si>
  <si>
    <t>Reduction of physical liabilities by ecosystem restoration programmes</t>
  </si>
  <si>
    <t>L7</t>
  </si>
  <si>
    <t>L9</t>
  </si>
  <si>
    <t>National targets</t>
  </si>
  <si>
    <t>International targets</t>
  </si>
  <si>
    <t>Private targets</t>
  </si>
  <si>
    <t>L10</t>
  </si>
  <si>
    <t>SECA - Simplified Ecosystem Capital Accounts</t>
  </si>
  <si>
    <t>Draft Tables and Mock-up</t>
  </si>
  <si>
    <t xml:space="preserve">Accessible landscape services/ Green Infrastructure Neighbourhood Ecosystem Services (GINES) </t>
  </si>
  <si>
    <t>Use of fossil carbon, t1 (~1995), 10^6 tonnes</t>
  </si>
  <si>
    <t>Use of fossil carbon, t1 (~2005), 10^6 tonnes</t>
  </si>
  <si>
    <t>Stock t1 (~1995), 10^6 tonnes of C/ Soil</t>
  </si>
  <si>
    <t>TOTAL  Land</t>
  </si>
  <si>
    <t>GBLI change 1990-2006</t>
  </si>
  <si>
    <t>Green Background Landscape Index  2000, 5 km smoothing, 10^3 points-km^2, 0-100 scale</t>
  </si>
  <si>
    <t>Effective Mesh Size index (ln MEFF), 10^3 points-km^2, 0-100 scale</t>
  </si>
  <si>
    <t>Mean GBL_P per km^2</t>
  </si>
  <si>
    <t>Mean MEFF_P per km^2</t>
  </si>
  <si>
    <t>Mean NAT_P per km^2</t>
  </si>
  <si>
    <t>Landscape Ecosystem Potential (LEP = f(GBLI, Naturlis, ln MEFF)) t2 (~2005), 10^3 points-km^2, 0-100 scale</t>
  </si>
  <si>
    <t>Mean LEP_P per km^2</t>
  </si>
  <si>
    <t>Landscape Ecosystem Potential (LEP = f(GBLI, Naturlis, ln MEFF)) t1 (~1995), 10^3 points-km^2, 0-100 scale</t>
  </si>
  <si>
    <t>Green ecotones index, GEI t10 (~ 2005), 10^3 GE_P points</t>
  </si>
  <si>
    <t>Green ecotones index,GEI t1 (~1995), 10^3 GE_P points</t>
  </si>
  <si>
    <t>Rivers       [proxy 1 = 10^3 srkm;       (proxy 2 = exergy)]</t>
  </si>
  <si>
    <t>10^3 EAC weighted tonnes</t>
  </si>
  <si>
    <t>10^3 EAC weighted tonnes of C [proxy t1 = b47*B8] [proxy t10 = b47*B9]</t>
  </si>
  <si>
    <t>10^3 tonnes</t>
  </si>
  <si>
    <t>Cost of restoration     €/km^2</t>
  </si>
  <si>
    <t>Unit restoration cost, value in €/TEPE</t>
  </si>
  <si>
    <t>D0</t>
  </si>
  <si>
    <t>d151</t>
  </si>
  <si>
    <t>Mean GAI per km^2, t1 (~2005)</t>
  </si>
  <si>
    <t>Mean GAI per km^2, t1 (~1995)</t>
  </si>
  <si>
    <t>g31</t>
  </si>
  <si>
    <t>g32</t>
  </si>
  <si>
    <t>G4</t>
  </si>
  <si>
    <t>G43</t>
  </si>
  <si>
    <t>g431</t>
  </si>
  <si>
    <t>g432</t>
  </si>
  <si>
    <t>G44</t>
  </si>
  <si>
    <t>G45</t>
  </si>
  <si>
    <r>
      <t>Net Ecosystem Accessible Fresh Water per capita 1995 (m</t>
    </r>
    <r>
      <rPr>
        <vertAlign val="superscript"/>
        <sz val="11"/>
        <color indexed="8"/>
        <rFont val="Calibri"/>
        <family val="2"/>
      </rPr>
      <t>3</t>
    </r>
    <r>
      <rPr>
        <sz val="11"/>
        <color theme="1"/>
        <rFont val="Calibri"/>
        <family val="2"/>
      </rPr>
      <t>) [g31 = C9/g11]</t>
    </r>
  </si>
  <si>
    <r>
      <t>Net Ecosystem Accessible Fresh Water per capita 2005 (m</t>
    </r>
    <r>
      <rPr>
        <vertAlign val="superscript"/>
        <sz val="11"/>
        <color indexed="8"/>
        <rFont val="Calibri"/>
        <family val="2"/>
      </rPr>
      <t>3</t>
    </r>
    <r>
      <rPr>
        <sz val="11"/>
        <color theme="1"/>
        <rFont val="Calibri"/>
        <family val="2"/>
      </rPr>
      <t>) [g32 = C10/g12]</t>
    </r>
  </si>
  <si>
    <t>Net Accessible Ecosystem Carbon per capita 1995 (tons) [g21 = B7/g11]</t>
  </si>
  <si>
    <t>Net Accessible Ecosystem Carbon per capita 2005 (tons) [g22 =B8/g11]</t>
  </si>
  <si>
    <t>1 - Artificial surfaces, urban land cover EU27, 1990 (~1995), km^2</t>
  </si>
  <si>
    <t>1 - Artificial surfaces, urban land cover EU27, 2006 (~2005), km^2</t>
  </si>
  <si>
    <t>G46</t>
  </si>
  <si>
    <t>G47</t>
  </si>
  <si>
    <t>Demand of GINES_5km (= SQRT GAI * a11 Artificial) ~2005</t>
  </si>
  <si>
    <t>Demand of GINES_5km (= SQRT GAI * a11 Artificial) ~1995</t>
  </si>
  <si>
    <t>g441</t>
  </si>
  <si>
    <t>g442</t>
  </si>
  <si>
    <t>G48</t>
  </si>
  <si>
    <t>Accessible GINES / landscape services (G47= (G43*G45)*g11), 10^6 points</t>
  </si>
  <si>
    <t>Accessible GINES / landscape services (G48= (G44*G46)*g12), 10^6 points</t>
  </si>
  <si>
    <t xml:space="preserve">[G] Demand and Accessibility to Ecosystem Services:                                                                       Ecosystem Carbon/Biomass,                                                                                                                                 Ecosystem Fresh Water,                                                                                                                                            Green Infrastructure Neighbourhood Ecosystem Services (GINES) </t>
  </si>
  <si>
    <t>F9%</t>
  </si>
  <si>
    <t>Change in Ecosystem Potential Due to Economic Activities</t>
  </si>
  <si>
    <t>Other Change in Volume of Ecosystem Capital</t>
  </si>
  <si>
    <t>F6-F5%</t>
  </si>
  <si>
    <t>F6-F5 annual</t>
  </si>
  <si>
    <t>Net Change in Physical Ecosystem Assets TEP (-) or (+) [L5 = f71+f72-F9-F8]</t>
  </si>
  <si>
    <t>H4</t>
  </si>
  <si>
    <t>Adjustment</t>
  </si>
  <si>
    <t>H6</t>
  </si>
  <si>
    <t>H7</t>
  </si>
  <si>
    <t>H8</t>
  </si>
  <si>
    <t>H9</t>
  </si>
  <si>
    <t>h83</t>
  </si>
  <si>
    <t>Ecosystem restoration targets (recovery from historical damages, compliance to conventions/ regulations)</t>
  </si>
  <si>
    <t>Change in ecosystem restoration targets</t>
  </si>
  <si>
    <t>h84</t>
  </si>
  <si>
    <t>[I] Estimation of unit costs of ecosystem capital restoration by stress factors</t>
  </si>
  <si>
    <t>j11</t>
  </si>
  <si>
    <t>j12</t>
  </si>
  <si>
    <t>j13</t>
  </si>
  <si>
    <t>Ecosystem capital degradation resulting from economic exploitation %</t>
  </si>
  <si>
    <t>L1</t>
  </si>
  <si>
    <t>L2</t>
  </si>
  <si>
    <t>L3</t>
  </si>
  <si>
    <t>L4</t>
  </si>
  <si>
    <t>L5</t>
  </si>
  <si>
    <t>L6</t>
  </si>
  <si>
    <t>[M] Economic aggregates and additional adjustments for CEC, 10^6 current €, EU27</t>
  </si>
  <si>
    <t>M01</t>
  </si>
  <si>
    <t>M02</t>
  </si>
  <si>
    <t>M03</t>
  </si>
  <si>
    <t>M04</t>
  </si>
  <si>
    <t>M1</t>
  </si>
  <si>
    <t>M05</t>
  </si>
  <si>
    <t xml:space="preserve">Consumption of Ecosystem Capital </t>
  </si>
  <si>
    <t>M2</t>
  </si>
  <si>
    <t>M3</t>
  </si>
  <si>
    <t>M06</t>
  </si>
  <si>
    <t>(Conventional) Net Domestic Product (M06=M01-M05)</t>
  </si>
  <si>
    <t>% Conventional Net Domestic Product/GDP</t>
  </si>
  <si>
    <t>m06%</t>
  </si>
  <si>
    <t>Gross Domestic Consumption of Ecosystem Capital (GDCEC) (M2=M1+L8)</t>
  </si>
  <si>
    <t>M4</t>
  </si>
  <si>
    <t>M4%</t>
  </si>
  <si>
    <t>M5</t>
  </si>
  <si>
    <t>M5%</t>
  </si>
  <si>
    <t>Reduction of Financial liabilities</t>
  </si>
  <si>
    <t>Net change in Financial liabilities (=h64+H7-H8)</t>
  </si>
  <si>
    <t>N1</t>
  </si>
  <si>
    <t>NR</t>
  </si>
  <si>
    <t>N2</t>
  </si>
  <si>
    <t>Territorial Consumption of Ecosystem Capital, in 10^6 € - Inland ecosystems</t>
  </si>
  <si>
    <t>Territorial Consumption of Ecosystem Capital (TCEC) (M1=J1)</t>
  </si>
  <si>
    <t>% GDCEC Adjusted Net Domestic Product/GDP</t>
  </si>
  <si>
    <t>Territorial Consumption of Ecosystem Capital, 10^6 € - Atmosphere/climate</t>
  </si>
  <si>
    <t>Effect of Ecosystem restoration programmes, in 10^6 € - Inland ecosystems</t>
  </si>
  <si>
    <t>Effect of Ecosystem restoration programmes, in 10^6 € - Fisheries</t>
  </si>
  <si>
    <t>N3</t>
  </si>
  <si>
    <t>N4</t>
  </si>
  <si>
    <t>n21</t>
  </si>
  <si>
    <t>n22</t>
  </si>
  <si>
    <t>n32</t>
  </si>
  <si>
    <t>N5</t>
  </si>
  <si>
    <t>N6</t>
  </si>
  <si>
    <t>N7</t>
  </si>
  <si>
    <t>National targets/ cost of programmes in 10^6 €</t>
  </si>
  <si>
    <t>International targets/ cost of programmes in 10^6 €</t>
  </si>
  <si>
    <t>Private targets/ cost of programmes in 10^6 €</t>
  </si>
  <si>
    <t>Revaluation of programmes cost</t>
  </si>
  <si>
    <t>n71</t>
  </si>
  <si>
    <t>n72</t>
  </si>
  <si>
    <t>n721</t>
  </si>
  <si>
    <t>n722</t>
  </si>
  <si>
    <t>n723</t>
  </si>
  <si>
    <t xml:space="preserve"> Ecosystem Potential Closing Balance Sheet, in 10 € - Non Relevant (NR)</t>
  </si>
  <si>
    <t>n41</t>
  </si>
  <si>
    <t>n42</t>
  </si>
  <si>
    <t>n43</t>
  </si>
  <si>
    <t>n44</t>
  </si>
  <si>
    <t>n711</t>
  </si>
  <si>
    <t>n712</t>
  </si>
  <si>
    <t>n713</t>
  </si>
  <si>
    <t>Opening Balance Sheet</t>
  </si>
  <si>
    <t>Counterpart of Other Change in Volume of Ecosystem Capital</t>
  </si>
  <si>
    <t>Effect of Ecosystem restoration programmes, in 10^6 € - Atmosphere/climate</t>
  </si>
  <si>
    <t>n211</t>
  </si>
  <si>
    <t>n212</t>
  </si>
  <si>
    <t>n213</t>
  </si>
  <si>
    <t>n221</t>
  </si>
  <si>
    <t>n222</t>
  </si>
  <si>
    <t>n223</t>
  </si>
  <si>
    <t>Closing Balance Sheet</t>
  </si>
  <si>
    <t>h81=n21</t>
  </si>
  <si>
    <t>h811</t>
  </si>
  <si>
    <t>h812</t>
  </si>
  <si>
    <t>h813</t>
  </si>
  <si>
    <t>h82=n31</t>
  </si>
  <si>
    <t>(-) Reduction of Financial liabilities by swaps and debts consolidation</t>
  </si>
  <si>
    <t>Acquisition of New Other Financial Liabilities</t>
  </si>
  <si>
    <t>n61</t>
  </si>
  <si>
    <t>n64</t>
  </si>
  <si>
    <t>n65</t>
  </si>
  <si>
    <t>h71</t>
  </si>
  <si>
    <t>h72</t>
  </si>
  <si>
    <t>h73</t>
  </si>
  <si>
    <t>h74</t>
  </si>
  <si>
    <t>h93</t>
  </si>
  <si>
    <t>h94</t>
  </si>
  <si>
    <t>H10</t>
  </si>
  <si>
    <t>H11</t>
  </si>
  <si>
    <t>Net change in physical liabilities (=h74+H8-H9)</t>
  </si>
  <si>
    <t>n611</t>
  </si>
  <si>
    <t>n612</t>
  </si>
  <si>
    <t>n613</t>
  </si>
  <si>
    <t>Distance to ecosystem restoration targets (historical damages, conventions/ regulations)</t>
  </si>
  <si>
    <t xml:space="preserve">D6 </t>
  </si>
  <si>
    <t>Net change in LEP (10^3 LEP_P) (D6=D5-D4)</t>
  </si>
  <si>
    <t>Territorial Consumption of Ecosystem Capital, in 10^6 € - Sea/ fisheries</t>
  </si>
  <si>
    <t>L11</t>
  </si>
  <si>
    <t>L12</t>
  </si>
  <si>
    <t>Inland ecosystem landscapes</t>
  </si>
  <si>
    <t>River systems - srkm</t>
  </si>
  <si>
    <t xml:space="preserve">Net Ecosystem Accessible Carbon Surplus: NEACS t1 (~1995), weighted 10^6 tonnes of C [proxy b47*B8] </t>
  </si>
  <si>
    <t>Net Ecosystem Accessible Carbon Surplus: NEACS t10 (~2005), weighted 10^6 tonnes of C [proxy b47*B9]</t>
  </si>
  <si>
    <t>b48</t>
  </si>
  <si>
    <t>Net removals</t>
  </si>
  <si>
    <t>B13</t>
  </si>
  <si>
    <t>B14</t>
  </si>
  <si>
    <t>b33</t>
  </si>
  <si>
    <t>C3 (Mean) annual water flows account 10^6 m^3</t>
  </si>
  <si>
    <t>Net transport of water (artificial transfers by mains and canals, conveyance to WWTP…)</t>
  </si>
  <si>
    <t>Total Inland, Sea and Atmosphere Ecosystem Potential (NEACS &amp; REP)</t>
  </si>
  <si>
    <t xml:space="preserve">Total Inland, Sea and Atmosphere Ecosystem Potential (NEACS &amp; REP) t1 (~1995) </t>
  </si>
  <si>
    <t>Total Inland, Sea and Atmosphere Ecosystem Potential (NEACS &amp; REP) t10 (~2005)</t>
  </si>
  <si>
    <t>Mean net annual change in NEACS_REP [(B8D11-B7D10)/10]</t>
  </si>
  <si>
    <t xml:space="preserve">Mean annual TECD/TEP %, period t1t10 (~1995-~2005) </t>
  </si>
  <si>
    <t>Degradation Adjusted TIVA/  (sustainable TIVA)/ agriculture products</t>
  </si>
  <si>
    <t>Degradation Adjusted TIVA/  (sustainable TIVA)/ forestry products</t>
  </si>
  <si>
    <t>Degradation Adjusted TIVA/  (sustainable TIVA)/ fishing products</t>
  </si>
  <si>
    <t>Degradation Adjusted TIVA/  (sustainable TIVA)/ water supply</t>
  </si>
  <si>
    <t xml:space="preserve">[L] Sustainable Ecosystem Services Macro-economic Benefits: 
Degradation Adjusted Total Induced Value Added in 10^6 € (by ISIC) 
</t>
  </si>
  <si>
    <t>Territorial Consumption of Ecosystem Capital (TCEC) (n71=M1=J1)</t>
  </si>
  <si>
    <t>Water stock accounts</t>
  </si>
  <si>
    <t>Water stock t1 (~1995) 10^6 m^3</t>
  </si>
  <si>
    <t>Water stock t10 (~ 2005) 10^6 m^3</t>
  </si>
  <si>
    <t>Effect of land cover change</t>
  </si>
  <si>
    <t>Restructuring/destructuring of landscapes and rivers</t>
  </si>
  <si>
    <t>Agriculture overharvesting and over grazing</t>
  </si>
  <si>
    <t>Overhunting</t>
  </si>
  <si>
    <t>Overexploitation of biological resources</t>
  </si>
  <si>
    <t>Waste disposal, pollution</t>
  </si>
  <si>
    <t>f911</t>
  </si>
  <si>
    <t>f912</t>
  </si>
  <si>
    <t>f913</t>
  </si>
  <si>
    <t>lf1 Land development processes, urban sprawl, expansion of intensive land use</t>
  </si>
  <si>
    <t>f931</t>
  </si>
  <si>
    <t>f932</t>
  </si>
  <si>
    <t>f933</t>
  </si>
  <si>
    <t>f934</t>
  </si>
  <si>
    <t>f941</t>
  </si>
  <si>
    <t>f942</t>
  </si>
  <si>
    <t>f943</t>
  </si>
  <si>
    <t>f944</t>
  </si>
  <si>
    <t>f945</t>
  </si>
  <si>
    <t>f914</t>
  </si>
  <si>
    <t>Other shift to more artificial or intensive land cover type</t>
  </si>
  <si>
    <t>j111</t>
  </si>
  <si>
    <t>j112</t>
  </si>
  <si>
    <t>j113</t>
  </si>
  <si>
    <t>j114</t>
  </si>
  <si>
    <t>j131</t>
  </si>
  <si>
    <t>j132</t>
  </si>
  <si>
    <t>j133</t>
  </si>
  <si>
    <t>j134</t>
  </si>
  <si>
    <t>f14</t>
  </si>
  <si>
    <t>j141</t>
  </si>
  <si>
    <t>j142</t>
  </si>
  <si>
    <t>j143</t>
  </si>
  <si>
    <t>j144</t>
  </si>
  <si>
    <t>j145</t>
  </si>
  <si>
    <t>[J] Ecosystem Capital Depreciation: Territorial Consumption of Ecosystem Capital in 10^6 €</t>
  </si>
  <si>
    <t>b486</t>
  </si>
  <si>
    <r>
      <t>R</t>
    </r>
    <r>
      <rPr>
        <b/>
        <vertAlign val="subscript"/>
        <sz val="11"/>
        <color indexed="8"/>
        <rFont val="Calibri"/>
        <family val="2"/>
      </rPr>
      <t>p</t>
    </r>
    <r>
      <rPr>
        <b/>
        <sz val="11"/>
        <color indexed="8"/>
        <rFont val="Calibri"/>
        <family val="2"/>
      </rPr>
      <t> = Respiration by Plants</t>
    </r>
  </si>
  <si>
    <r>
      <t>R</t>
    </r>
    <r>
      <rPr>
        <b/>
        <vertAlign val="subscript"/>
        <sz val="11"/>
        <color indexed="8"/>
        <rFont val="Calibri"/>
        <family val="2"/>
      </rPr>
      <t>h</t>
    </r>
    <r>
      <rPr>
        <b/>
        <sz val="11"/>
        <color indexed="8"/>
        <rFont val="Calibri"/>
        <family val="2"/>
      </rPr>
      <t> = Respiration by Heterotrophs and Decomposers</t>
    </r>
  </si>
  <si>
    <t>b46</t>
  </si>
  <si>
    <t>Leakages of C</t>
  </si>
  <si>
    <t>b461</t>
  </si>
  <si>
    <t>b462</t>
  </si>
  <si>
    <t>s/t Total available effective rainfall (hydro)</t>
  </si>
  <si>
    <t>c36</t>
  </si>
  <si>
    <t>Withdrawals of water</t>
  </si>
  <si>
    <t>c39</t>
  </si>
  <si>
    <t>Returns of water</t>
  </si>
  <si>
    <t>mean NECB (~1995-~2005), 10^6 tonnes of C, [b47-b481-b482-b483-b484-b485+b486]</t>
  </si>
  <si>
    <t>Net Ecosystem Accessible Fresh Water Surplus t1 (~1995), [C5*(1-C7)] 10^6 weighted m^3</t>
  </si>
  <si>
    <t xml:space="preserve">Net Ecosystem Accessible Fresh Water Surplus t10 (~2005) [C6*(1-C8)], 10^6 weighted m^3 </t>
  </si>
  <si>
    <t>Total Ecosystem Accessible Water t1 (~1995)  [c111+c121+c131+c141+c35+c37+c391-c38+c40+c41]</t>
  </si>
  <si>
    <t>Return of water to soil/irrigation</t>
  </si>
  <si>
    <t>Total Ecosystem Accessible Water t10 (~2005)  [c211+c221+c231+c241+c35+c37+c391-c38+c40+c41]</t>
  </si>
  <si>
    <t>c34a</t>
  </si>
  <si>
    <t>c34b</t>
  </si>
  <si>
    <t>c34c</t>
  </si>
  <si>
    <t>c34d</t>
  </si>
  <si>
    <t>Accessible ecosystem water flow [c34-c34a-c34b-c34c-c34d]</t>
  </si>
  <si>
    <t>c32a</t>
  </si>
  <si>
    <t>c32b</t>
  </si>
  <si>
    <t>Spontaneous actual evapotranspiration</t>
  </si>
  <si>
    <t>of which actual evapotranspiration induced by rainfed cultivated vegetation</t>
  </si>
  <si>
    <t>of which actual evapotranspiration induced by non-cultivated vegetation</t>
  </si>
  <si>
    <t>of which net transfers of pollution as additional reserved runoff/dilution of pollution</t>
  </si>
  <si>
    <t>s/t Total available effective rainfall after spontaneous transfers</t>
  </si>
  <si>
    <t>Removal/extraction of soil, peat</t>
  </si>
  <si>
    <t>Organic fertilisation</t>
  </si>
  <si>
    <t>b481a</t>
  </si>
  <si>
    <t>b481b</t>
  </si>
  <si>
    <t>b482a</t>
  </si>
  <si>
    <t>b482b</t>
  </si>
  <si>
    <t>total harvest</t>
  </si>
  <si>
    <t>leftovers, returns</t>
  </si>
  <si>
    <t>total grazing</t>
  </si>
  <si>
    <t>animal return to pasturres</t>
  </si>
  <si>
    <t>b483a</t>
  </si>
  <si>
    <t>b483b</t>
  </si>
  <si>
    <t>b4834a</t>
  </si>
  <si>
    <t>b484b</t>
  </si>
  <si>
    <t>total catches</t>
  </si>
  <si>
    <t>Stated Social Nature Value index (Naturilis), 10^3 points-km^2, 0-100 scale</t>
  </si>
  <si>
    <t>Green Accessible Landscape Infrastructure</t>
  </si>
  <si>
    <t>GALI = Green Accessible Landscape Infrastructure Index (SQRT GBLI*GEI), t1 (~1995)</t>
  </si>
  <si>
    <t>GALI = Green Accessible Landscape Infrastructure Index (SQRT GBLI*GEI), t1 (~2005)</t>
  </si>
  <si>
    <t xml:space="preserve">[D] Landscape green infrastructure accounts:                                                                                     Landscape Ecosystem Potential (LEP), Green Accessible Landscape Infrastructure (GALI)                                       &amp; Rivers Ecosystem Potential (REP) </t>
  </si>
  <si>
    <t>Mean accessibility of GINES_5km (GALI / a11  Artificial) t1 ~1995</t>
  </si>
  <si>
    <t>Mean accessibility of GINES_5km (GALI / a31  Artificial) t1 ~2005</t>
  </si>
  <si>
    <t>Mean "1 - Artificial" per km^2, ~2005, %</t>
  </si>
  <si>
    <t>Mean "1 - Artificial" per km^2, ~1995, %</t>
  </si>
  <si>
    <t>[B] Ecosystem Capital Carbon/biomass Account:                                                                                             Net Ecosystem Carbon Balance (NECB) &amp; Net Ecosystem Accessible Carbon Surplus (NEACS)</t>
  </si>
  <si>
    <t>[C] Ecosystem Capital Water  Account:                                                                                                             Total Ecosystem Accessible Fresh Water (TEAW) &amp;                                                                                 Net Ecosystem Accessible Fresh Water Surplus (NEAWS)</t>
  </si>
  <si>
    <t>[F1] Ecosystem Total Potential Account,                                                                                                       Net Change in Ecosystem Potential Unit Equivalents (EPUE)                                                                              &amp; Ecosystem Capital Degradation (ECD)</t>
  </si>
  <si>
    <t>Ecosystem Total Potential &amp; Ecosystem Capital Degradation in EPUE [1 EPUE = 1 EAC Unit * functional coefficient]</t>
  </si>
  <si>
    <t>Ecosystem Total Potential t1 (~1995), in 10^3 EPUE [bottomline F5 = F1]</t>
  </si>
  <si>
    <t>Ecosystem Total Potential t10 (~2005), in 10^3 EPUE [F6= (F2*(1-((F4-F3)/F3))]</t>
  </si>
  <si>
    <t xml:space="preserve">Net Change in EPUE (-) or (+), period t1t10 (~1995-~2005) , in 10^3 EPUE </t>
  </si>
  <si>
    <t xml:space="preserve">Mean Annual Net Change in EPUE (-) or (+), period t1t10 (~1995-~2005) , in 10^3 EPUE </t>
  </si>
  <si>
    <t xml:space="preserve">Mean Annual Net Change in EPUE (-) or (+),  period t1t10 (~1995-~2005) </t>
  </si>
  <si>
    <t xml:space="preserve">Ecosystem improvement, period t1t10 (~1995-~2005) , in 10^3 EPUE </t>
  </si>
  <si>
    <t xml:space="preserve">Effect of Ecosystem restoration programme, mean annual amount period t1t10 (~1995-~2005) ,  in 10^3 EPUE </t>
  </si>
  <si>
    <t xml:space="preserve">Ecosystem spontaneous natural improvement, mean annual amount period t1t10 (~1995-~2005) ,  in 10^3 EPUE </t>
  </si>
  <si>
    <t>Ecosystem degradation &amp; natural disturbance, 10 years period t1t10 (~1995-~2005), in 10^3 EPUE</t>
  </si>
  <si>
    <t>Ecosystem degradation &amp; natural disturbance, mean annual amount, period t1t10 (~1995-~2005), in 10^3 EPUE</t>
  </si>
  <si>
    <t>Effect of natural disturbances, mean annual amount period t1t10 (~1995-~2005) ,  in 10^3 EPUE</t>
  </si>
  <si>
    <t>Territorial Ecosystem Capital Degradation (TECD), mean annual amount ~1995-~2005,  in 10^3 EPUE [F8-F10]</t>
  </si>
  <si>
    <t>[F2] Account of Territorial Ecosystem Capital Degradation (TECD) by stress factors (in EPUE)</t>
  </si>
  <si>
    <t>Environmental protection and management expenditure (part)</t>
  </si>
  <si>
    <t>çè</t>
  </si>
  <si>
    <r>
      <t xml:space="preserve">[F1] Ecosystem Total Potential Account, Net Change &amp; Ecosystem Capital Degradation (ECD),                                                         </t>
    </r>
    <r>
      <rPr>
        <sz val="12"/>
        <color indexed="8"/>
        <rFont val="Calibri"/>
        <family val="2"/>
      </rPr>
      <t xml:space="preserve">in Ecosystem Potential Unit Equivalents (EPUE) </t>
    </r>
  </si>
  <si>
    <t>[I] Estimation of unit costs of ecosystem capital restoration by Stress Factors</t>
  </si>
  <si>
    <r>
      <rPr>
        <b/>
        <sz val="14"/>
        <color indexed="8"/>
        <rFont val="Calibri"/>
        <family val="2"/>
      </rPr>
      <t>[A] Land cover stocks and flows basic account</t>
    </r>
    <r>
      <rPr>
        <sz val="11"/>
        <color theme="1"/>
        <rFont val="Calibri"/>
        <family val="2"/>
      </rPr>
      <t xml:space="preserve">:                                          </t>
    </r>
    <r>
      <rPr>
        <sz val="12"/>
        <color indexed="8"/>
        <rFont val="Calibri"/>
        <family val="2"/>
      </rPr>
      <t xml:space="preserve">Gross and Net Land Cover Change </t>
    </r>
  </si>
  <si>
    <r>
      <rPr>
        <b/>
        <sz val="14"/>
        <color indexed="8"/>
        <rFont val="Calibri"/>
        <family val="2"/>
      </rPr>
      <t xml:space="preserve">[B] Ecosystem Capital Carbon/biomass Account:                               </t>
    </r>
    <r>
      <rPr>
        <sz val="12"/>
        <color indexed="8"/>
        <rFont val="Calibri"/>
        <family val="2"/>
      </rPr>
      <t>Net Ecosystem Carbon Balance (NECB)                                                                                                         &amp; Net Ecosystem Accessible Carbon Surplus (NEACS)</t>
    </r>
  </si>
  <si>
    <r>
      <rPr>
        <b/>
        <sz val="14"/>
        <color indexed="8"/>
        <rFont val="Calibri"/>
        <family val="2"/>
      </rPr>
      <t xml:space="preserve">[C] Ecosystem Capital Water  Account: </t>
    </r>
    <r>
      <rPr>
        <sz val="11"/>
        <color theme="1"/>
        <rFont val="Calibri"/>
        <family val="2"/>
      </rPr>
      <t xml:space="preserve">                                                                   </t>
    </r>
    <r>
      <rPr>
        <sz val="12"/>
        <color indexed="8"/>
        <rFont val="Calibri"/>
        <family val="2"/>
      </rPr>
      <t>Total Ecosystem Accessible Fresh Water (TEAW)                                                                               &amp; Net Ecosystem Accessible Fresh Water Surplus (NEAWS)</t>
    </r>
  </si>
  <si>
    <r>
      <rPr>
        <b/>
        <sz val="14"/>
        <color indexed="8"/>
        <rFont val="Calibri"/>
        <family val="2"/>
      </rPr>
      <t>[D] Landscape green infrastructure accounts</t>
    </r>
    <r>
      <rPr>
        <sz val="11"/>
        <color theme="1"/>
        <rFont val="Calibri"/>
        <family val="2"/>
      </rPr>
      <t xml:space="preserve">:                                 </t>
    </r>
    <r>
      <rPr>
        <sz val="12"/>
        <color indexed="8"/>
        <rFont val="Calibri"/>
        <family val="2"/>
      </rPr>
      <t xml:space="preserve">Landscape Ecosystem Potential (LEP),                                                                                              Green Accessible Landscape Infrastructure (GALI)                                                                             &amp; Rivers Ecosystem Potential (REP) </t>
    </r>
  </si>
  <si>
    <r>
      <rPr>
        <b/>
        <sz val="14"/>
        <color indexed="8"/>
        <rFont val="Calibri"/>
        <family val="2"/>
      </rPr>
      <t>[E] Ecosystem Capital Biodiversity Account:</t>
    </r>
    <r>
      <rPr>
        <sz val="11"/>
        <color theme="1"/>
        <rFont val="Calibri"/>
        <family val="2"/>
      </rPr>
      <t xml:space="preserve">                                              </t>
    </r>
    <r>
      <rPr>
        <sz val="12"/>
        <color indexed="8"/>
        <rFont val="Calibri"/>
        <family val="2"/>
      </rPr>
      <t>Biodiversity Infrastructure Integrity (BII)                                                                                                    &amp; Ecosystem's Biodiversity Rating (EBR)</t>
    </r>
  </si>
  <si>
    <r>
      <t xml:space="preserve">[F2] Account of Territorial Ecosystem Capital Degradation (TECD) by Stress Factors </t>
    </r>
    <r>
      <rPr>
        <sz val="12"/>
        <color indexed="8"/>
        <rFont val="Calibri"/>
        <family val="2"/>
      </rPr>
      <t>(in EPUE)</t>
    </r>
  </si>
  <si>
    <r>
      <rPr>
        <b/>
        <sz val="14"/>
        <color indexed="8"/>
        <rFont val="Calibri"/>
        <family val="2"/>
      </rPr>
      <t>[G] Demand and Accessibility to Ecosystem Services</t>
    </r>
    <r>
      <rPr>
        <sz val="11"/>
        <color theme="1"/>
        <rFont val="Calibri"/>
        <family val="2"/>
      </rPr>
      <t xml:space="preserve">:           </t>
    </r>
    <r>
      <rPr>
        <sz val="12"/>
        <color indexed="8"/>
        <rFont val="Calibri"/>
        <family val="2"/>
      </rPr>
      <t xml:space="preserve"> Ecosystem Carbon/biomass per capita,                                                  Ecosystem Fresh Water per capita,                                                                Green Infrastructure Neighbourhood Ecosystem Services (GINES) </t>
    </r>
  </si>
  <si>
    <r>
      <rPr>
        <b/>
        <sz val="14"/>
        <color indexed="8"/>
        <rFont val="Calibri"/>
        <family val="2"/>
      </rPr>
      <t>[J] Ecosystem Capital Depreciation</t>
    </r>
    <r>
      <rPr>
        <sz val="11"/>
        <color theme="1"/>
        <rFont val="Calibri"/>
        <family val="2"/>
      </rPr>
      <t xml:space="preserve">:                                                              </t>
    </r>
    <r>
      <rPr>
        <sz val="12"/>
        <color indexed="8"/>
        <rFont val="Calibri"/>
        <family val="2"/>
      </rPr>
      <t xml:space="preserve">  Territorial Consumption of Ecosystem Capital in money</t>
    </r>
  </si>
  <si>
    <r>
      <t xml:space="preserve">[K] Account of Ecosystem Capital Degradation &amp; Depreciation Embedded into Imports and Exports,                                                             </t>
    </r>
    <r>
      <rPr>
        <sz val="12"/>
        <color indexed="8"/>
        <rFont val="Calibri"/>
        <family val="2"/>
      </rPr>
      <t>in EPUE &amp; in money</t>
    </r>
  </si>
  <si>
    <r>
      <rPr>
        <b/>
        <sz val="14"/>
        <color indexed="8"/>
        <rFont val="Calibri"/>
        <family val="2"/>
      </rPr>
      <t>[L] Account of Macro-economic Benefits induced by Sustainable Ecosystem Services</t>
    </r>
    <r>
      <rPr>
        <sz val="11"/>
        <color theme="1"/>
        <rFont val="Calibri"/>
        <family val="2"/>
      </rPr>
      <t xml:space="preserve">:                                                                                 </t>
    </r>
    <r>
      <rPr>
        <sz val="12"/>
        <color indexed="8"/>
        <rFont val="Calibri"/>
        <family val="2"/>
      </rPr>
      <t xml:space="preserve">                           Degradation-Adjusted Total Induced Value Added (by SELU &amp; ISIC) </t>
    </r>
    <r>
      <rPr>
        <sz val="11"/>
        <color theme="1"/>
        <rFont val="Calibri"/>
        <family val="2"/>
      </rPr>
      <t xml:space="preserve">
</t>
    </r>
  </si>
  <si>
    <t>Physical supply and use tables &amp; economic assets accounts. Agriculture, forestry &amp; fishery statistics</t>
  </si>
  <si>
    <t>Land use statistics</t>
  </si>
  <si>
    <t>Ecosystem statistical and accouting units:                                          socio-ecological landscape units, elementary functional units (land cover, river reaches…), ecosystem assets, ecosystem service units</t>
  </si>
  <si>
    <t>Economic statistical and accouting units:                                             institutional units, establishments, economic assets, commodities</t>
  </si>
  <si>
    <t>Countries and administrative regions or biophysical geographical breakdowns</t>
  </si>
  <si>
    <t xml:space="preserve">[H] Ecosystem Physical Balance Sheet: Assets and Liabilities </t>
  </si>
  <si>
    <t>Analytical and reporting units, classifications</t>
  </si>
  <si>
    <t>Basic accounts</t>
  </si>
  <si>
    <t>Ecosystem Total Potential</t>
  </si>
  <si>
    <t>Ecosystem Depreciation</t>
  </si>
  <si>
    <t>Tables by Ecosystem Units</t>
  </si>
  <si>
    <t>Tables by Economic Units</t>
  </si>
  <si>
    <t>Countries and biophysical geographical breakdowns or administrative regions</t>
  </si>
  <si>
    <t>Accounting Structure</t>
  </si>
  <si>
    <t>Physical supply and use tables &amp; economic assets accounts.               Water use statistics</t>
  </si>
  <si>
    <t>International fishing areas</t>
  </si>
  <si>
    <t>[M] Economic aggregates and additional adjustments for CEC, in money: Gross Domestic Consumption of Ecosystem Capital (GDCEC), GDCEC Adjusted Net Domestic Product, Final Consumption at Full Price (including NDCEC)</t>
  </si>
  <si>
    <t>n11</t>
  </si>
  <si>
    <t>n12</t>
  </si>
  <si>
    <t>Market value of ecosystem public good assets, in 10 €  - Non Relevant (NR)</t>
  </si>
  <si>
    <t>n51</t>
  </si>
  <si>
    <t>n52</t>
  </si>
  <si>
    <t xml:space="preserve"> Ecosystem Potential Opening Balance Sheet, in 10^6 € - Non Relevant (NR)</t>
  </si>
  <si>
    <t>Market value of ecosystem public good assets, in 10^6 €  - Non Relevant (NR)</t>
  </si>
  <si>
    <t>(+) Effect of ecosystem restoration programmes, in 10^6 € (N21= f71 in EPUE*Unit price)</t>
  </si>
  <si>
    <t>Net Accumulation of Financial Ecosystem Assets, in 10^6 € (-) or (+) [N4=n21+n31-n22-n32]</t>
  </si>
  <si>
    <t>Opening Balance Sheet Total Ecosystem Potential, in 10^3 EPUE [bottomline F5 = F1]</t>
  </si>
  <si>
    <t xml:space="preserve">Effect of Ecosystem restoration programme, in 10^3 EPUE </t>
  </si>
  <si>
    <t>Territorial Ecosystem Capital Degradation (TECD), in 10^3 EPUE [F9=F8-F10]</t>
  </si>
  <si>
    <t xml:space="preserve">Ecosystem spontaneous natural improvement, in 10^3 EPUE </t>
  </si>
  <si>
    <t>Effect of natural disturbances, in 10^3 EPUE</t>
  </si>
  <si>
    <t>Reduction of physical liabilities by acquisition of EPUE (mitigation/ compensation)</t>
  </si>
  <si>
    <t xml:space="preserve">Closing Balance Sheet Total Ecosystem Potential, in 10^3 EPUE </t>
  </si>
  <si>
    <t>Ecosystem capital degradation in "consumed imports", agriculture &amp; forest, in EPUE</t>
  </si>
  <si>
    <t>Ecosystem capital degradation in "consumed imports", fisheries, in EPUE</t>
  </si>
  <si>
    <t>Ecosystem capital degradation in "consumed imports", atmosphere CO2-e potential, in EPUE</t>
  </si>
  <si>
    <t>(-) Effect of natural disturbances, in 10^6 € (n32= f82 in EPUE*Unit price)</t>
  </si>
  <si>
    <t>Ecosystem capital depreciation embedded in "consumed imports", agriculture &amp; forest, in EPUE</t>
  </si>
  <si>
    <t>Ecosystem capital depreciation embedded in "consumed imports", fisheries, in EPUE</t>
  </si>
  <si>
    <t>Ecosystem capital depreciation embedded in "consumed imports", atmosphere CO^2-e potential, in EPUE</t>
  </si>
  <si>
    <t>(-) Reduction of financial liabilities by ecosystem restoration programmes, in 10^6 € (N21= f71 in EPUE*Unit price)</t>
  </si>
  <si>
    <t>(-) Ecosystem spontaneous natural improvement, in 10^6 € (n31= f72 in EPUE*Unit price)</t>
  </si>
  <si>
    <t>(-) Reduction of Financial liabilities by acquisition of EPUE (mitigation/ compensation)</t>
  </si>
  <si>
    <t>Physical Assets [in EPUE]</t>
  </si>
  <si>
    <t>Physical Liabilities [in EPUE]</t>
  </si>
  <si>
    <t xml:space="preserve">[K] Account of Ecosystem Capital Degradation &amp; Depreciation Embedded                                 into Imports and Exports, in EPUE &amp; 10^6 € </t>
  </si>
  <si>
    <t>Territorial Consumption of Ecosystem Capital, mean annual value period t1-t10 in 10^6 €</t>
  </si>
  <si>
    <t>Final Consumption at Full Price (M5=M02+M3)</t>
  </si>
  <si>
    <t>GDCEC Adjusted Net Domestic Product (M4=M01+M2)</t>
  </si>
  <si>
    <t>Imports at Full Price (K10=M03+K8)</t>
  </si>
  <si>
    <t>Net Domestic Consumption of Ecosystem Capital (M2=M1+K8-K9)</t>
  </si>
  <si>
    <t>Export at Full Price(K11=M04+K9)</t>
  </si>
  <si>
    <t>Acquisition of New Other Financial Assets</t>
  </si>
  <si>
    <t>n53</t>
  </si>
  <si>
    <t>n13</t>
  </si>
  <si>
    <t>H21</t>
  </si>
  <si>
    <t>H22</t>
  </si>
  <si>
    <t>Closing Balance Sheet Total Ecosystem Potential, in 10^3 EPUE [H5=(F2*(1-((F4-F3)/F3))]+ H4</t>
  </si>
  <si>
    <t xml:space="preserve">[N] Ecosystem Monetary Balance Sheet: Assets and Liabilities </t>
  </si>
  <si>
    <t>Monetary Assets [in  10^6 €]</t>
  </si>
  <si>
    <t>Monetary Liabilities [in EPUE]</t>
  </si>
  <si>
    <t>Market value of ecosystem economic non-financial assets, 10^6 € (from SEEA vol.1)</t>
  </si>
  <si>
    <t xml:space="preserve">Financial ecosystem assets, 10^6 € </t>
  </si>
  <si>
    <t>Jean-Louis Weber 9 October 2011</t>
  </si>
  <si>
    <t>Non-financial ecosystem assets</t>
  </si>
  <si>
    <t>h111</t>
  </si>
  <si>
    <t>h112</t>
  </si>
  <si>
    <t>h113</t>
  </si>
  <si>
    <t>h114</t>
  </si>
  <si>
    <t>H12</t>
  </si>
  <si>
    <t>Financial ecosystem assets (in 10^3 EPUE)</t>
  </si>
  <si>
    <t>h411</t>
  </si>
  <si>
    <t>h412</t>
  </si>
  <si>
    <t>h413</t>
  </si>
  <si>
    <t>h414</t>
  </si>
  <si>
    <t>h511</t>
  </si>
  <si>
    <t>h512</t>
  </si>
  <si>
    <t>h513</t>
  </si>
  <si>
    <t>h514</t>
  </si>
  <si>
    <t>Acquisition of new ecosystem physical assets (ECD embedded into exports)</t>
  </si>
  <si>
    <t>H11=F5</t>
  </si>
  <si>
    <t>H1</t>
  </si>
  <si>
    <t>H51=F5</t>
  </si>
  <si>
    <t>H5</t>
  </si>
  <si>
    <t>Jean-Louis Weber 23 September 2011</t>
  </si>
  <si>
    <t>[N] Ecosystem Monetary Balance Sheet: Stocks and Change of Ecosystem Financial Assets and Liabilities, in €</t>
  </si>
  <si>
    <r>
      <t xml:space="preserve">[H] Ecosystem Physical Balance Sheet: Stocks and Change of Non-financial and Financial Assets &amp; Physical Liabilities, </t>
    </r>
    <r>
      <rPr>
        <sz val="12"/>
        <color indexed="8"/>
        <rFont val="Calibri"/>
        <family val="2"/>
      </rPr>
      <t>in EPUE</t>
    </r>
  </si>
  <si>
    <t>Simplified model of simplified ecosystem capital  accounts with mock-up data</t>
  </si>
  <si>
    <t xml:space="preserve"> (Jean-Louis Weber, 9 November 2011)</t>
  </si>
  <si>
    <t>TEP</t>
  </si>
  <si>
    <t>$</t>
  </si>
  <si>
    <t>Withdrawals &gt; accessible surplus</t>
  </si>
  <si>
    <t>Ecosystem destructuring</t>
  </si>
  <si>
    <t>Excess of fertilizers</t>
  </si>
  <si>
    <t>Introduction of species</t>
  </si>
  <si>
    <t>Pollution, waste discharge</t>
  </si>
  <si>
    <t>Remediation cost by issue</t>
  </si>
  <si>
    <t>Total remediation cost</t>
  </si>
  <si>
    <r>
      <t xml:space="preserve">Calculation of remediation </t>
    </r>
    <r>
      <rPr>
        <b/>
        <sz val="16"/>
        <color indexed="8"/>
        <rFont val="Book Antiqua"/>
        <family val="1"/>
      </rPr>
      <t>costs</t>
    </r>
  </si>
  <si>
    <t>Mean remediation unit costs</t>
  </si>
  <si>
    <t>An experimental framework for ecosystem capital accounting in Europe</t>
  </si>
  <si>
    <t>Technical report No 13/2011</t>
  </si>
  <si>
    <t>Published: 08 Nov 2011</t>
  </si>
  <si>
    <t>http://www.eea.europa.eu/publications/an-experimental-framework-for-ecosystem</t>
  </si>
  <si>
    <t>Annex 2 to the EEA Technical report 13: Draft accounting tables with mockup numbers</t>
  </si>
  <si>
    <t>This workbook includes:</t>
  </si>
  <si>
    <t># An illustration of the ecosystem capital accounts model</t>
  </si>
  <si>
    <t># An individual worksheet for each table from A to N, for easier reading</t>
  </si>
  <si>
    <t>This report presents an overall experimental framework for ecosystem capital accounting. It is based on the project to implement simplified ecosystem capital accounts for Europe as a 'fast-track' initiative launched by the European Environment Agency in 2010. The experimental framework highlights accounting balances and relationships between accounting tables and systems as well as key indicators and aggregates that describe economy ecosystem interactions. Ecosystem accounts are being developed as part of the System of Environmental-Economic Accounts which aims at supplementing the UN System of National Accounts with information on the environment and natural capital.</t>
  </si>
  <si>
    <t># A figure presenting the accounts'structure</t>
  </si>
  <si>
    <t># A reference table with all accounting items; the mock-up numbers are related one to each other throughout the various tables; relations between numbers can be visualised using Excel's "show formulas" command.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</si>
</sst>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0"/>
    <numFmt numFmtId="175" formatCode="dd\.mm\.yy"/>
    <numFmt numFmtId="176" formatCode="&quot;Yes&quot;;&quot;Yes&quot;;&quot;No&quot;"/>
    <numFmt numFmtId="177" formatCode="&quot;True&quot;;&quot;True&quot;;&quot;False&quot;"/>
    <numFmt numFmtId="178" formatCode="&quot;On&quot;;&quot;On&quot;;&quot;Off&quot;"/>
    <numFmt numFmtId="179" formatCode="[$€-2]\ #,##0.00_);[Red]\([$€-2]\ #,##0.00\)"/>
  </numFmts>
  <fonts count="120">
    <font>
      <sz val="11"/>
      <color theme="1"/>
      <name val="Calibri"/>
      <family val="2"/>
    </font>
    <font>
      <sz val="10"/>
      <color indexed="8"/>
      <name val="Arial"/>
      <family val="2"/>
    </font>
    <font>
      <b/>
      <sz val="11"/>
      <color indexed="8"/>
      <name val="Calibri"/>
      <family val="2"/>
    </font>
    <font>
      <b/>
      <sz val="14"/>
      <color indexed="8"/>
      <name val="Calibri"/>
      <family val="2"/>
    </font>
    <font>
      <b/>
      <vertAlign val="subscript"/>
      <sz val="11"/>
      <color indexed="8"/>
      <name val="Calibri"/>
      <family val="2"/>
    </font>
    <font>
      <sz val="10"/>
      <color indexed="8"/>
      <name val="Calibri"/>
      <family val="2"/>
    </font>
    <font>
      <sz val="12"/>
      <color indexed="8"/>
      <name val="Calibri"/>
      <family val="2"/>
    </font>
    <font>
      <vertAlign val="superscript"/>
      <sz val="11"/>
      <color indexed="8"/>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i/>
      <sz val="11"/>
      <color indexed="8"/>
      <name val="Calibri"/>
      <family val="2"/>
    </font>
    <font>
      <sz val="11"/>
      <name val="Calibri"/>
      <family val="2"/>
    </font>
    <font>
      <b/>
      <sz val="11"/>
      <name val="Calibri"/>
      <family val="2"/>
    </font>
    <font>
      <b/>
      <i/>
      <sz val="11"/>
      <color indexed="8"/>
      <name val="Calibri"/>
      <family val="2"/>
    </font>
    <font>
      <b/>
      <sz val="12"/>
      <color indexed="8"/>
      <name val="Calibri"/>
      <family val="2"/>
    </font>
    <font>
      <b/>
      <i/>
      <sz val="12"/>
      <color indexed="8"/>
      <name val="Calibri"/>
      <family val="2"/>
    </font>
    <font>
      <sz val="9"/>
      <color indexed="8"/>
      <name val="Calibri"/>
      <family val="2"/>
    </font>
    <font>
      <b/>
      <sz val="9"/>
      <color indexed="8"/>
      <name val="Calibri"/>
      <family val="2"/>
    </font>
    <font>
      <sz val="14"/>
      <color indexed="8"/>
      <name val="Calibri"/>
      <family val="2"/>
    </font>
    <font>
      <b/>
      <sz val="11"/>
      <color indexed="8"/>
      <name val="Times New Roman"/>
      <family val="1"/>
    </font>
    <font>
      <sz val="11"/>
      <color indexed="8"/>
      <name val="Times New Roman"/>
      <family val="1"/>
    </font>
    <font>
      <b/>
      <sz val="12"/>
      <name val="Calibri"/>
      <family val="2"/>
    </font>
    <font>
      <b/>
      <sz val="10"/>
      <color indexed="8"/>
      <name val="Calibri"/>
      <family val="2"/>
    </font>
    <font>
      <sz val="20"/>
      <color indexed="8"/>
      <name val="Calibri"/>
      <family val="2"/>
    </font>
    <font>
      <b/>
      <sz val="20"/>
      <color indexed="8"/>
      <name val="Calibri"/>
      <family val="2"/>
    </font>
    <font>
      <i/>
      <sz val="14"/>
      <color indexed="8"/>
      <name val="Calibri"/>
      <family val="2"/>
    </font>
    <font>
      <b/>
      <sz val="10"/>
      <color indexed="8"/>
      <name val="Arial"/>
      <family val="2"/>
    </font>
    <font>
      <i/>
      <sz val="12"/>
      <color indexed="8"/>
      <name val="Calibri"/>
      <family val="2"/>
    </font>
    <font>
      <i/>
      <sz val="10"/>
      <color indexed="8"/>
      <name val="Calibri"/>
      <family val="2"/>
    </font>
    <font>
      <b/>
      <i/>
      <sz val="12"/>
      <color indexed="8"/>
      <name val="Wingdings"/>
      <family val="0"/>
    </font>
    <font>
      <b/>
      <i/>
      <sz val="14"/>
      <color indexed="8"/>
      <name val="Calibri"/>
      <family val="2"/>
    </font>
    <font>
      <b/>
      <sz val="16"/>
      <color indexed="8"/>
      <name val="Calibri"/>
      <family val="2"/>
    </font>
    <font>
      <u val="single"/>
      <sz val="11"/>
      <color indexed="12"/>
      <name val="Calibri"/>
      <family val="2"/>
    </font>
    <font>
      <u val="single"/>
      <sz val="11"/>
      <color indexed="20"/>
      <name val="Calibri"/>
      <family val="2"/>
    </font>
    <font>
      <b/>
      <i/>
      <sz val="18"/>
      <color indexed="8"/>
      <name val="Calibri"/>
      <family val="2"/>
    </font>
    <font>
      <b/>
      <sz val="24"/>
      <color indexed="9"/>
      <name val="Calibri"/>
      <family val="2"/>
    </font>
    <font>
      <sz val="16"/>
      <color indexed="8"/>
      <name val="Book Antiqua"/>
      <family val="1"/>
    </font>
    <font>
      <b/>
      <sz val="16"/>
      <color indexed="8"/>
      <name val="Book Antiqua"/>
      <family val="1"/>
    </font>
    <font>
      <sz val="11"/>
      <color indexed="8"/>
      <name val="Book Antiqua"/>
      <family val="1"/>
    </font>
    <font>
      <b/>
      <sz val="18"/>
      <color indexed="8"/>
      <name val="Book Antiqua"/>
      <family val="1"/>
    </font>
    <font>
      <sz val="32"/>
      <color indexed="8"/>
      <name val="Calibri"/>
      <family val="2"/>
    </font>
    <font>
      <sz val="8"/>
      <color indexed="8"/>
      <name val="Calibri"/>
      <family val="2"/>
    </font>
    <font>
      <b/>
      <sz val="18"/>
      <color indexed="9"/>
      <name val="Calibri"/>
      <family val="2"/>
    </font>
    <font>
      <b/>
      <sz val="18"/>
      <color indexed="8"/>
      <name val="Calibri"/>
      <family val="2"/>
    </font>
    <font>
      <sz val="18"/>
      <color indexed="8"/>
      <name val="Calibri"/>
      <family val="2"/>
    </font>
    <font>
      <b/>
      <i/>
      <sz val="18"/>
      <color indexed="8"/>
      <name val="Book Antiqua"/>
      <family val="1"/>
    </font>
    <font>
      <i/>
      <sz val="20"/>
      <color indexed="8"/>
      <name val="Book Antiqua"/>
      <family val="1"/>
    </font>
    <font>
      <i/>
      <sz val="20"/>
      <color indexed="8"/>
      <name val="Calibri"/>
      <family val="2"/>
    </font>
    <font>
      <b/>
      <sz val="13"/>
      <color indexed="56"/>
      <name val="Verdana"/>
      <family val="2"/>
    </font>
    <font>
      <sz val="8"/>
      <color indexed="8"/>
      <name val="Verdana"/>
      <family val="2"/>
    </font>
    <font>
      <b/>
      <sz val="11"/>
      <color indexed="8"/>
      <name val="Verdana"/>
      <family val="2"/>
    </font>
    <font>
      <b/>
      <sz val="8"/>
      <color indexed="8"/>
      <name val="Verdana"/>
      <family val="2"/>
    </font>
    <font>
      <sz val="8"/>
      <color indexed="23"/>
      <name val="Verdana"/>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4"/>
      <color theme="1"/>
      <name val="Calibri"/>
      <family val="2"/>
    </font>
    <font>
      <b/>
      <sz val="11"/>
      <color rgb="FF000000"/>
      <name val="Calibri"/>
      <family val="2"/>
    </font>
    <font>
      <b/>
      <i/>
      <sz val="11"/>
      <color theme="1"/>
      <name val="Calibri"/>
      <family val="2"/>
    </font>
    <font>
      <sz val="10"/>
      <color theme="1"/>
      <name val="Calibri"/>
      <family val="2"/>
    </font>
    <font>
      <b/>
      <sz val="12"/>
      <color theme="1"/>
      <name val="Calibri"/>
      <family val="2"/>
    </font>
    <font>
      <sz val="12"/>
      <color theme="1"/>
      <name val="Calibri"/>
      <family val="2"/>
    </font>
    <font>
      <b/>
      <i/>
      <sz val="12"/>
      <color theme="1"/>
      <name val="Calibri"/>
      <family val="2"/>
    </font>
    <font>
      <sz val="9"/>
      <color theme="1"/>
      <name val="Calibri"/>
      <family val="2"/>
    </font>
    <font>
      <b/>
      <sz val="9"/>
      <color theme="1"/>
      <name val="Calibri"/>
      <family val="2"/>
    </font>
    <font>
      <sz val="14"/>
      <color theme="1"/>
      <name val="Calibri"/>
      <family val="2"/>
    </font>
    <font>
      <b/>
      <sz val="11"/>
      <color theme="1"/>
      <name val="Times New Roman"/>
      <family val="1"/>
    </font>
    <font>
      <sz val="11"/>
      <color theme="1"/>
      <name val="Times New Roman"/>
      <family val="1"/>
    </font>
    <font>
      <b/>
      <sz val="10"/>
      <color theme="1"/>
      <name val="Calibri"/>
      <family val="2"/>
    </font>
    <font>
      <sz val="20"/>
      <color theme="1"/>
      <name val="Calibri"/>
      <family val="2"/>
    </font>
    <font>
      <b/>
      <sz val="20"/>
      <color theme="1"/>
      <name val="Calibri"/>
      <family val="2"/>
    </font>
    <font>
      <i/>
      <sz val="14"/>
      <color theme="1"/>
      <name val="Calibri"/>
      <family val="2"/>
    </font>
    <font>
      <b/>
      <sz val="10"/>
      <color theme="1"/>
      <name val="Arial"/>
      <family val="2"/>
    </font>
    <font>
      <i/>
      <sz val="12"/>
      <color theme="1"/>
      <name val="Calibri"/>
      <family val="2"/>
    </font>
    <font>
      <i/>
      <sz val="10"/>
      <color theme="1"/>
      <name val="Calibri"/>
      <family val="2"/>
    </font>
    <font>
      <b/>
      <i/>
      <sz val="12"/>
      <color theme="1"/>
      <name val="Wingdings"/>
      <family val="0"/>
    </font>
    <font>
      <b/>
      <i/>
      <sz val="14"/>
      <color theme="1"/>
      <name val="Calibri"/>
      <family val="2"/>
    </font>
    <font>
      <b/>
      <sz val="16"/>
      <color theme="1"/>
      <name val="Calibri"/>
      <family val="2"/>
    </font>
    <font>
      <b/>
      <i/>
      <sz val="18"/>
      <color theme="1"/>
      <name val="Calibri"/>
      <family val="2"/>
    </font>
    <font>
      <b/>
      <sz val="24"/>
      <color theme="0"/>
      <name val="Calibri"/>
      <family val="2"/>
    </font>
    <font>
      <sz val="16"/>
      <color theme="1"/>
      <name val="Book Antiqua"/>
      <family val="1"/>
    </font>
    <font>
      <b/>
      <sz val="18"/>
      <color theme="1"/>
      <name val="Book Antiqua"/>
      <family val="1"/>
    </font>
    <font>
      <sz val="11"/>
      <color theme="1"/>
      <name val="Book Antiqua"/>
      <family val="1"/>
    </font>
    <font>
      <sz val="8"/>
      <color rgb="FF000000"/>
      <name val="Verdana"/>
      <family val="2"/>
    </font>
    <font>
      <b/>
      <sz val="11"/>
      <color rgb="FF000000"/>
      <name val="Verdana"/>
      <family val="2"/>
    </font>
    <font>
      <b/>
      <sz val="8"/>
      <color rgb="FF000000"/>
      <name val="Verdana"/>
      <family val="2"/>
    </font>
    <font>
      <sz val="8"/>
      <color rgb="FF76797C"/>
      <name val="Verdana"/>
      <family val="2"/>
    </font>
    <font>
      <b/>
      <sz val="13"/>
      <color rgb="FF00446A"/>
      <name val="Verdana"/>
      <family val="2"/>
    </font>
    <font>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theme="5" tint="-0.24997000396251678"/>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style="medium"/>
    </border>
    <border>
      <left style="thin"/>
      <right style="medium"/>
      <top style="thin"/>
      <bottom style="thin"/>
    </border>
    <border>
      <left style="medium"/>
      <right style="thin"/>
      <top style="thin"/>
      <bottom style="thin"/>
    </border>
    <border>
      <left style="medium"/>
      <right style="thin"/>
      <top/>
      <bottom style="thin"/>
    </border>
    <border>
      <left style="medium"/>
      <right style="thin"/>
      <top style="thin"/>
      <bottom style="medium"/>
    </border>
    <border>
      <left style="medium"/>
      <right/>
      <top/>
      <bottom/>
    </border>
    <border>
      <left/>
      <right style="medium"/>
      <top style="thin"/>
      <bottom style="thin"/>
    </border>
    <border>
      <left style="medium"/>
      <right/>
      <top style="thin"/>
      <bottom style="thin"/>
    </border>
    <border>
      <left style="thin"/>
      <right style="thin"/>
      <top style="medium"/>
      <bottom/>
    </border>
    <border>
      <left style="thin"/>
      <right style="thin"/>
      <top style="thin"/>
      <bottom/>
    </border>
    <border>
      <left style="thin"/>
      <right style="thin"/>
      <top/>
      <bottom/>
    </border>
    <border>
      <left/>
      <right style="thin"/>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right style="thin"/>
      <top style="thin"/>
      <bottom style="medium"/>
    </border>
    <border>
      <left style="thin"/>
      <right style="medium"/>
      <top style="thin"/>
      <bottom/>
    </border>
    <border>
      <left/>
      <right style="thin"/>
      <top/>
      <bottom style="thin"/>
    </border>
    <border>
      <left style="thin"/>
      <right/>
      <top/>
      <bottom style="thin"/>
    </border>
    <border>
      <left style="thin"/>
      <right style="thin"/>
      <top/>
      <bottom style="medium"/>
    </border>
    <border>
      <left/>
      <right style="medium"/>
      <top style="thin"/>
      <bottom style="medium"/>
    </border>
    <border>
      <left style="medium"/>
      <right/>
      <top/>
      <bottom style="medium"/>
    </border>
    <border>
      <left/>
      <right/>
      <top/>
      <bottom style="medium"/>
    </border>
    <border>
      <left/>
      <right style="medium"/>
      <top/>
      <bottom style="medium"/>
    </border>
    <border>
      <left/>
      <right style="medium"/>
      <top/>
      <bottom style="thin"/>
    </border>
    <border>
      <left style="thin"/>
      <right style="medium"/>
      <top/>
      <bottom style="thin"/>
    </border>
    <border>
      <left/>
      <right style="thin"/>
      <top/>
      <bottom/>
    </border>
    <border>
      <left style="thin"/>
      <right/>
      <top/>
      <bottom/>
    </border>
    <border>
      <left style="medium"/>
      <right style="thin"/>
      <top style="medium"/>
      <bottom style="thin"/>
    </border>
    <border>
      <left/>
      <right style="thin"/>
      <top style="thin"/>
      <bottom/>
    </border>
    <border>
      <left style="thin"/>
      <right/>
      <top style="thin"/>
      <bottom style="medium"/>
    </border>
    <border>
      <left/>
      <right/>
      <top/>
      <bottom style="thin"/>
    </border>
    <border>
      <left style="thin"/>
      <right style="medium"/>
      <top style="medium"/>
      <bottom/>
    </border>
    <border>
      <left style="medium"/>
      <right style="medium"/>
      <top style="medium"/>
      <bottom style="thin"/>
    </border>
    <border>
      <left style="medium"/>
      <right style="medium"/>
      <top style="thin"/>
      <bottom style="medium"/>
    </border>
    <border>
      <left style="medium"/>
      <right style="medium"/>
      <top style="thin"/>
      <bottom style="thin"/>
    </border>
    <border>
      <left/>
      <right style="thin"/>
      <top style="medium"/>
      <bottom style="thin"/>
    </border>
    <border>
      <left style="thin"/>
      <right/>
      <top style="medium"/>
      <bottom style="thin"/>
    </border>
    <border>
      <left/>
      <right style="medium"/>
      <top style="medium"/>
      <bottom style="thin"/>
    </border>
    <border>
      <left style="medium"/>
      <right style="medium"/>
      <top/>
      <bottom style="thin"/>
    </border>
    <border>
      <left style="medium"/>
      <right/>
      <top style="medium"/>
      <bottom/>
    </border>
    <border>
      <left/>
      <right/>
      <top style="medium"/>
      <bottom/>
    </border>
    <border>
      <left/>
      <right style="medium"/>
      <top style="medium"/>
      <bottom/>
    </border>
    <border>
      <left/>
      <right style="medium"/>
      <top/>
      <bottom/>
    </border>
    <border>
      <left style="thin"/>
      <right/>
      <top style="thin"/>
      <bottom/>
    </border>
    <border>
      <left/>
      <right/>
      <top style="medium"/>
      <bottom style="thin"/>
    </border>
    <border>
      <left/>
      <right/>
      <top style="thin"/>
      <bottom style="thin"/>
    </border>
    <border>
      <left/>
      <right/>
      <top style="thin"/>
      <bottom style="medium"/>
    </border>
    <border>
      <left style="medium"/>
      <right style="medium"/>
      <top/>
      <bottom/>
    </border>
    <border>
      <left/>
      <right style="medium"/>
      <top style="thin"/>
      <bottom/>
    </border>
    <border>
      <left style="medium"/>
      <right style="medium"/>
      <top style="thin"/>
      <bottom/>
    </border>
    <border>
      <left style="medium"/>
      <right style="medium"/>
      <top style="medium"/>
      <bottom style="medium"/>
    </border>
    <border>
      <left/>
      <right style="medium"/>
      <top style="medium"/>
      <bottom style="medium"/>
    </border>
    <border>
      <left style="medium"/>
      <right style="medium"/>
      <top/>
      <bottom style="medium"/>
    </border>
    <border>
      <left style="medium"/>
      <right style="thin"/>
      <top style="thin"/>
      <bottom/>
    </border>
    <border>
      <left/>
      <right/>
      <top style="thin"/>
      <bottom/>
    </border>
    <border>
      <left style="medium"/>
      <right/>
      <top style="thin"/>
      <bottom/>
    </border>
    <border>
      <left/>
      <right style="thin"/>
      <top style="medium"/>
      <bottom/>
    </border>
    <border>
      <left style="thin"/>
      <right style="medium"/>
      <top/>
      <bottom style="medium"/>
    </border>
    <border>
      <left/>
      <right style="thin"/>
      <top/>
      <bottom style="medium"/>
    </border>
    <border>
      <left style="thin"/>
      <right style="medium"/>
      <top/>
      <bottom/>
    </border>
    <border>
      <left style="thin"/>
      <right/>
      <top style="medium"/>
      <bottom/>
    </border>
    <border>
      <left style="medium"/>
      <right style="thin"/>
      <top style="medium"/>
      <bottom/>
    </border>
    <border>
      <left style="medium"/>
      <right/>
      <top style="medium"/>
      <bottom style="thin"/>
    </border>
    <border>
      <left style="medium"/>
      <right/>
      <top style="medium"/>
      <bottom style="medium"/>
    </border>
    <border>
      <left/>
      <right/>
      <top style="medium"/>
      <bottom style="medium"/>
    </border>
    <border>
      <left style="medium"/>
      <right style="thin"/>
      <top/>
      <bottom/>
    </border>
    <border>
      <left style="thin"/>
      <right/>
      <top/>
      <bottom style="medium"/>
    </border>
    <border>
      <left style="medium"/>
      <right style="medium"/>
      <top style="medium"/>
      <bottom/>
    </border>
    <border>
      <left style="medium"/>
      <right/>
      <top style="thin"/>
      <bottom style="medium"/>
    </border>
    <border>
      <left>
        <color indexed="63"/>
      </left>
      <right>
        <color indexed="63"/>
      </right>
      <top>
        <color indexed="63"/>
      </top>
      <bottom style="medium">
        <color rgb="FFE9EFCD"/>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1162">
    <xf numFmtId="0" fontId="0" fillId="0" borderId="0" xfId="0" applyFont="1" applyAlignment="1">
      <alignment/>
    </xf>
    <xf numFmtId="0" fontId="0" fillId="0" borderId="10" xfId="0" applyNumberFormat="1" applyBorder="1" applyAlignment="1">
      <alignment/>
    </xf>
    <xf numFmtId="2" fontId="0" fillId="0" borderId="10" xfId="0" applyNumberFormat="1" applyBorder="1" applyAlignment="1">
      <alignment/>
    </xf>
    <xf numFmtId="0" fontId="0" fillId="0" borderId="0" xfId="0" applyNumberFormat="1" applyBorder="1" applyAlignment="1">
      <alignment/>
    </xf>
    <xf numFmtId="1" fontId="0" fillId="0" borderId="10" xfId="0" applyNumberFormat="1" applyBorder="1" applyAlignment="1">
      <alignment/>
    </xf>
    <xf numFmtId="0" fontId="0" fillId="0" borderId="0" xfId="0" applyBorder="1" applyAlignment="1">
      <alignment/>
    </xf>
    <xf numFmtId="1" fontId="0" fillId="0" borderId="0" xfId="0" applyNumberFormat="1" applyBorder="1" applyAlignment="1">
      <alignment/>
    </xf>
    <xf numFmtId="0" fontId="0" fillId="0" borderId="0" xfId="0" applyAlignment="1">
      <alignment/>
    </xf>
    <xf numFmtId="0" fontId="0" fillId="0" borderId="0" xfId="0" applyNumberFormat="1" applyAlignment="1">
      <alignment/>
    </xf>
    <xf numFmtId="1" fontId="84" fillId="0" borderId="10" xfId="0" applyNumberFormat="1" applyFont="1" applyBorder="1" applyAlignment="1">
      <alignment/>
    </xf>
    <xf numFmtId="1" fontId="0" fillId="0" borderId="10" xfId="0" applyNumberFormat="1" applyFont="1" applyBorder="1" applyAlignment="1">
      <alignment/>
    </xf>
    <xf numFmtId="0" fontId="0" fillId="0" borderId="0" xfId="0" applyNumberFormat="1" applyFont="1" applyAlignment="1">
      <alignment horizontal="right"/>
    </xf>
    <xf numFmtId="0" fontId="0" fillId="0" borderId="0" xfId="0" applyFill="1" applyBorder="1" applyAlignment="1">
      <alignment/>
    </xf>
    <xf numFmtId="0" fontId="0" fillId="33" borderId="10" xfId="0" applyFill="1" applyBorder="1" applyAlignment="1">
      <alignment/>
    </xf>
    <xf numFmtId="1" fontId="0" fillId="33" borderId="10" xfId="0" applyNumberFormat="1" applyFill="1" applyBorder="1" applyAlignment="1">
      <alignment/>
    </xf>
    <xf numFmtId="1" fontId="84" fillId="33" borderId="10" xfId="0" applyNumberFormat="1" applyFont="1" applyFill="1" applyBorder="1" applyAlignment="1">
      <alignment/>
    </xf>
    <xf numFmtId="2" fontId="0" fillId="33" borderId="10" xfId="0" applyNumberFormat="1" applyFill="1" applyBorder="1" applyAlignment="1">
      <alignment/>
    </xf>
    <xf numFmtId="172" fontId="0" fillId="0" borderId="10" xfId="0" applyNumberFormat="1" applyBorder="1" applyAlignment="1">
      <alignment/>
    </xf>
    <xf numFmtId="0" fontId="0" fillId="0" borderId="0" xfId="0" applyAlignment="1">
      <alignment horizontal="center"/>
    </xf>
    <xf numFmtId="0" fontId="0" fillId="0" borderId="10" xfId="0" applyFill="1" applyBorder="1" applyAlignment="1">
      <alignment/>
    </xf>
    <xf numFmtId="0" fontId="0" fillId="0" borderId="0" xfId="0" applyFill="1" applyBorder="1" applyAlignment="1">
      <alignment horizontal="center"/>
    </xf>
    <xf numFmtId="1" fontId="0" fillId="0" borderId="0" xfId="0" applyNumberFormat="1" applyFill="1" applyBorder="1" applyAlignment="1">
      <alignment/>
    </xf>
    <xf numFmtId="0" fontId="0" fillId="0" borderId="0" xfId="0" applyAlignment="1" quotePrefix="1">
      <alignment horizontal="center"/>
    </xf>
    <xf numFmtId="1" fontId="0" fillId="0" borderId="11" xfId="0" applyNumberFormat="1" applyBorder="1" applyAlignment="1">
      <alignment/>
    </xf>
    <xf numFmtId="1" fontId="84" fillId="0" borderId="11" xfId="0" applyNumberFormat="1" applyFont="1" applyBorder="1" applyAlignment="1">
      <alignment/>
    </xf>
    <xf numFmtId="0" fontId="0" fillId="33" borderId="11" xfId="0" applyFill="1" applyBorder="1" applyAlignment="1">
      <alignment/>
    </xf>
    <xf numFmtId="2" fontId="0" fillId="33" borderId="11" xfId="0" applyNumberFormat="1" applyFill="1" applyBorder="1" applyAlignment="1">
      <alignment/>
    </xf>
    <xf numFmtId="0" fontId="0" fillId="33" borderId="10" xfId="0" applyNumberFormat="1" applyFill="1" applyBorder="1" applyAlignment="1">
      <alignment/>
    </xf>
    <xf numFmtId="0" fontId="0" fillId="0" borderId="10" xfId="0" applyNumberFormat="1" applyFont="1" applyBorder="1" applyAlignment="1">
      <alignment horizontal="right"/>
    </xf>
    <xf numFmtId="2" fontId="0" fillId="0" borderId="10" xfId="0" applyNumberFormat="1" applyFill="1" applyBorder="1" applyAlignment="1">
      <alignment/>
    </xf>
    <xf numFmtId="2" fontId="0" fillId="0" borderId="11" xfId="0" applyNumberFormat="1" applyFill="1" applyBorder="1" applyAlignment="1">
      <alignment/>
    </xf>
    <xf numFmtId="0" fontId="84" fillId="0" borderId="10" xfId="0" applyFont="1" applyBorder="1" applyAlignment="1">
      <alignment/>
    </xf>
    <xf numFmtId="0" fontId="84" fillId="0" borderId="0" xfId="0" applyFont="1" applyAlignment="1">
      <alignment/>
    </xf>
    <xf numFmtId="1" fontId="0" fillId="0" borderId="10" xfId="0" applyNumberFormat="1" applyFont="1" applyBorder="1" applyAlignment="1">
      <alignment/>
    </xf>
    <xf numFmtId="0" fontId="0" fillId="0" borderId="10" xfId="0" applyFont="1" applyBorder="1" applyAlignment="1">
      <alignment/>
    </xf>
    <xf numFmtId="0" fontId="0" fillId="0" borderId="0" xfId="0" applyFont="1" applyAlignment="1">
      <alignment/>
    </xf>
    <xf numFmtId="0" fontId="0" fillId="0" borderId="10" xfId="0" applyBorder="1" applyAlignment="1">
      <alignment horizontal="left"/>
    </xf>
    <xf numFmtId="0" fontId="86" fillId="0" borderId="10" xfId="0" applyFont="1" applyBorder="1" applyAlignment="1">
      <alignment/>
    </xf>
    <xf numFmtId="1" fontId="86" fillId="0" borderId="10" xfId="0" applyNumberFormat="1" applyFont="1" applyBorder="1" applyAlignment="1">
      <alignment/>
    </xf>
    <xf numFmtId="1" fontId="86" fillId="33" borderId="10" xfId="0" applyNumberFormat="1" applyFont="1" applyFill="1" applyBorder="1" applyAlignment="1">
      <alignment/>
    </xf>
    <xf numFmtId="0" fontId="86" fillId="33" borderId="10" xfId="0" applyFont="1" applyFill="1" applyBorder="1" applyAlignment="1">
      <alignment/>
    </xf>
    <xf numFmtId="0" fontId="86" fillId="0" borderId="0" xfId="0" applyFont="1" applyAlignment="1">
      <alignment/>
    </xf>
    <xf numFmtId="0" fontId="0" fillId="0" borderId="0" xfId="0" applyFill="1" applyAlignment="1">
      <alignment/>
    </xf>
    <xf numFmtId="1" fontId="0" fillId="0" borderId="10" xfId="0" applyNumberFormat="1" applyFill="1" applyBorder="1" applyAlignment="1">
      <alignment/>
    </xf>
    <xf numFmtId="1" fontId="86" fillId="0" borderId="10" xfId="0" applyNumberFormat="1" applyFont="1" applyFill="1" applyBorder="1" applyAlignment="1">
      <alignment/>
    </xf>
    <xf numFmtId="1" fontId="0" fillId="0" borderId="12" xfId="0" applyNumberFormat="1" applyBorder="1" applyAlignment="1">
      <alignment/>
    </xf>
    <xf numFmtId="1" fontId="0" fillId="0" borderId="13" xfId="0" applyNumberFormat="1" applyBorder="1" applyAlignment="1">
      <alignment/>
    </xf>
    <xf numFmtId="1" fontId="0" fillId="33" borderId="13" xfId="0" applyNumberFormat="1" applyFill="1" applyBorder="1" applyAlignment="1">
      <alignment/>
    </xf>
    <xf numFmtId="1" fontId="0" fillId="0" borderId="12" xfId="0" applyNumberFormat="1" applyFill="1" applyBorder="1" applyAlignment="1">
      <alignment/>
    </xf>
    <xf numFmtId="0" fontId="0" fillId="0" borderId="0" xfId="0" applyNumberFormat="1" applyFill="1" applyBorder="1" applyAlignment="1">
      <alignment/>
    </xf>
    <xf numFmtId="0" fontId="87" fillId="0" borderId="0" xfId="0" applyFont="1" applyAlignment="1">
      <alignment/>
    </xf>
    <xf numFmtId="1" fontId="0" fillId="0" borderId="10" xfId="0" applyNumberFormat="1" applyFont="1" applyFill="1" applyBorder="1" applyAlignment="1">
      <alignment/>
    </xf>
    <xf numFmtId="0" fontId="0" fillId="0" borderId="13" xfId="0" applyBorder="1" applyAlignment="1">
      <alignment/>
    </xf>
    <xf numFmtId="2" fontId="0" fillId="0" borderId="0" xfId="0" applyNumberFormat="1" applyFill="1" applyBorder="1" applyAlignment="1">
      <alignment/>
    </xf>
    <xf numFmtId="0" fontId="86" fillId="33" borderId="14" xfId="0" applyFont="1" applyFill="1" applyBorder="1" applyAlignment="1">
      <alignment/>
    </xf>
    <xf numFmtId="0" fontId="0" fillId="0" borderId="15" xfId="0" applyFill="1" applyBorder="1" applyAlignment="1">
      <alignment horizontal="center"/>
    </xf>
    <xf numFmtId="0" fontId="0" fillId="0" borderId="16" xfId="0" applyFill="1" applyBorder="1" applyAlignment="1">
      <alignment horizontal="center"/>
    </xf>
    <xf numFmtId="0" fontId="0" fillId="0" borderId="0" xfId="0" applyFill="1" applyBorder="1" applyAlignment="1">
      <alignment/>
    </xf>
    <xf numFmtId="172" fontId="0" fillId="0" borderId="10" xfId="0" applyNumberFormat="1" applyFill="1" applyBorder="1" applyAlignment="1">
      <alignment/>
    </xf>
    <xf numFmtId="2" fontId="86" fillId="33" borderId="10" xfId="0" applyNumberFormat="1" applyFont="1" applyFill="1" applyBorder="1" applyAlignment="1">
      <alignment/>
    </xf>
    <xf numFmtId="0" fontId="86" fillId="0" borderId="10" xfId="0" applyFont="1" applyBorder="1" applyAlignment="1">
      <alignment horizontal="right"/>
    </xf>
    <xf numFmtId="172" fontId="86" fillId="0" borderId="10" xfId="0" applyNumberFormat="1" applyFont="1" applyBorder="1" applyAlignment="1">
      <alignment/>
    </xf>
    <xf numFmtId="2" fontId="86" fillId="0" borderId="10" xfId="0" applyNumberFormat="1" applyFont="1" applyFill="1" applyBorder="1" applyAlignment="1">
      <alignment/>
    </xf>
    <xf numFmtId="0" fontId="86" fillId="0" borderId="15" xfId="0" applyFont="1" applyFill="1" applyBorder="1" applyAlignment="1">
      <alignment horizontal="center"/>
    </xf>
    <xf numFmtId="0" fontId="86" fillId="0" borderId="10" xfId="0" applyFont="1" applyFill="1" applyBorder="1" applyAlignment="1">
      <alignment/>
    </xf>
    <xf numFmtId="0" fontId="86" fillId="0" borderId="0" xfId="0" applyNumberFormat="1" applyFont="1" applyFill="1" applyBorder="1" applyAlignment="1">
      <alignment/>
    </xf>
    <xf numFmtId="0" fontId="86" fillId="0" borderId="0" xfId="0" applyFont="1" applyFill="1" applyAlignment="1">
      <alignment/>
    </xf>
    <xf numFmtId="0" fontId="86" fillId="0" borderId="13" xfId="0" applyFont="1" applyBorder="1" applyAlignment="1">
      <alignment/>
    </xf>
    <xf numFmtId="2" fontId="86" fillId="33" borderId="13" xfId="0" applyNumberFormat="1" applyFont="1" applyFill="1" applyBorder="1" applyAlignment="1">
      <alignment/>
    </xf>
    <xf numFmtId="1" fontId="86" fillId="33" borderId="13" xfId="0" applyNumberFormat="1" applyFont="1" applyFill="1" applyBorder="1" applyAlignment="1">
      <alignment/>
    </xf>
    <xf numFmtId="0" fontId="0" fillId="0" borderId="0" xfId="0" applyFill="1" applyAlignment="1">
      <alignment horizontal="center"/>
    </xf>
    <xf numFmtId="0" fontId="0" fillId="0" borderId="15" xfId="0" applyFill="1" applyBorder="1" applyAlignment="1" quotePrefix="1">
      <alignment horizontal="center"/>
    </xf>
    <xf numFmtId="0" fontId="0" fillId="0" borderId="15" xfId="0" applyFont="1" applyFill="1" applyBorder="1" applyAlignment="1">
      <alignment horizontal="right"/>
    </xf>
    <xf numFmtId="0" fontId="86" fillId="0" borderId="15" xfId="0" applyFont="1" applyFill="1" applyBorder="1" applyAlignment="1" quotePrefix="1">
      <alignment horizontal="center"/>
    </xf>
    <xf numFmtId="0" fontId="86" fillId="0" borderId="17" xfId="0" applyFont="1" applyFill="1" applyBorder="1" applyAlignment="1" quotePrefix="1">
      <alignment horizontal="center"/>
    </xf>
    <xf numFmtId="0" fontId="84" fillId="0" borderId="15" xfId="0" applyFont="1" applyFill="1" applyBorder="1" applyAlignment="1" quotePrefix="1">
      <alignment horizontal="center"/>
    </xf>
    <xf numFmtId="0" fontId="0" fillId="0" borderId="18" xfId="0" applyFill="1" applyBorder="1" applyAlignment="1">
      <alignment horizontal="center"/>
    </xf>
    <xf numFmtId="0" fontId="86" fillId="0" borderId="15" xfId="0" applyFont="1" applyFill="1" applyBorder="1" applyAlignment="1" quotePrefix="1">
      <alignment horizontal="right"/>
    </xf>
    <xf numFmtId="0" fontId="0" fillId="0" borderId="15" xfId="0" applyFill="1" applyBorder="1" applyAlignment="1">
      <alignment horizontal="right"/>
    </xf>
    <xf numFmtId="0" fontId="0" fillId="0" borderId="15" xfId="0" applyFill="1" applyBorder="1" applyAlignment="1" quotePrefix="1">
      <alignment horizontal="right"/>
    </xf>
    <xf numFmtId="172" fontId="84" fillId="33" borderId="10" xfId="0" applyNumberFormat="1"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84" fillId="0" borderId="0" xfId="0" applyFont="1" applyFill="1" applyAlignment="1">
      <alignment/>
    </xf>
    <xf numFmtId="0" fontId="86" fillId="0" borderId="0" xfId="0" applyFont="1" applyFill="1" applyBorder="1" applyAlignment="1">
      <alignment/>
    </xf>
    <xf numFmtId="0" fontId="84" fillId="0" borderId="0" xfId="0" applyFont="1" applyFill="1" applyBorder="1" applyAlignment="1">
      <alignment/>
    </xf>
    <xf numFmtId="0" fontId="0" fillId="0" borderId="0" xfId="0" applyNumberFormat="1" applyFill="1" applyAlignment="1">
      <alignment/>
    </xf>
    <xf numFmtId="0" fontId="84" fillId="33" borderId="10" xfId="0" applyFont="1" applyFill="1" applyBorder="1" applyAlignment="1">
      <alignment/>
    </xf>
    <xf numFmtId="2" fontId="84" fillId="33" borderId="10" xfId="0" applyNumberFormat="1" applyFont="1" applyFill="1" applyBorder="1" applyAlignment="1">
      <alignment/>
    </xf>
    <xf numFmtId="1" fontId="84" fillId="33" borderId="14" xfId="0" applyNumberFormat="1" applyFont="1" applyFill="1" applyBorder="1" applyAlignment="1">
      <alignment/>
    </xf>
    <xf numFmtId="0" fontId="0" fillId="0" borderId="12" xfId="0" applyFill="1" applyBorder="1" applyAlignment="1">
      <alignment/>
    </xf>
    <xf numFmtId="0" fontId="0" fillId="0" borderId="0" xfId="0" applyBorder="1" applyAlignment="1">
      <alignment/>
    </xf>
    <xf numFmtId="0" fontId="0" fillId="0" borderId="10" xfId="0" applyBorder="1" applyAlignment="1">
      <alignment/>
    </xf>
    <xf numFmtId="0" fontId="0" fillId="0" borderId="0" xfId="0" applyAlignment="1">
      <alignment/>
    </xf>
    <xf numFmtId="0" fontId="0" fillId="34" borderId="0" xfId="0" applyFill="1" applyAlignment="1">
      <alignment/>
    </xf>
    <xf numFmtId="1" fontId="0" fillId="0" borderId="0" xfId="0" applyNumberFormat="1" applyAlignment="1">
      <alignment/>
    </xf>
    <xf numFmtId="0" fontId="87" fillId="0" borderId="0" xfId="0" applyFont="1" applyFill="1" applyBorder="1" applyAlignment="1">
      <alignment/>
    </xf>
    <xf numFmtId="1" fontId="25" fillId="0" borderId="0" xfId="0" applyNumberFormat="1" applyFont="1" applyFill="1" applyBorder="1" applyAlignment="1">
      <alignment/>
    </xf>
    <xf numFmtId="1" fontId="84" fillId="0" borderId="0" xfId="0" applyNumberFormat="1" applyFont="1" applyFill="1" applyBorder="1" applyAlignment="1">
      <alignment/>
    </xf>
    <xf numFmtId="0" fontId="0" fillId="33" borderId="19" xfId="0" applyFill="1" applyBorder="1" applyAlignment="1">
      <alignment/>
    </xf>
    <xf numFmtId="0" fontId="0" fillId="0" borderId="20" xfId="0" applyFill="1" applyBorder="1" applyAlignment="1" quotePrefix="1">
      <alignment horizontal="center"/>
    </xf>
    <xf numFmtId="0" fontId="0" fillId="0" borderId="10" xfId="0" applyFill="1" applyBorder="1" applyAlignment="1" quotePrefix="1">
      <alignment horizontal="left"/>
    </xf>
    <xf numFmtId="0" fontId="86" fillId="0" borderId="10" xfId="0" applyFont="1" applyBorder="1" applyAlignment="1">
      <alignment horizontal="right" indent="1"/>
    </xf>
    <xf numFmtId="0" fontId="0" fillId="0" borderId="10" xfId="0" applyNumberFormat="1" applyFill="1" applyBorder="1" applyAlignment="1">
      <alignment/>
    </xf>
    <xf numFmtId="0" fontId="0" fillId="0" borderId="21" xfId="0" applyFill="1" applyBorder="1" applyAlignment="1">
      <alignment wrapText="1"/>
    </xf>
    <xf numFmtId="1" fontId="26" fillId="0" borderId="0" xfId="0" applyNumberFormat="1" applyFont="1" applyFill="1" applyBorder="1" applyAlignment="1">
      <alignment/>
    </xf>
    <xf numFmtId="1" fontId="0" fillId="0" borderId="10" xfId="0" applyNumberFormat="1" applyFont="1" applyFill="1" applyBorder="1" applyAlignment="1" quotePrefix="1">
      <alignment horizontal="right"/>
    </xf>
    <xf numFmtId="1" fontId="84" fillId="0" borderId="10" xfId="0" applyNumberFormat="1" applyFont="1" applyBorder="1" applyAlignment="1">
      <alignment/>
    </xf>
    <xf numFmtId="0" fontId="86" fillId="0" borderId="10" xfId="0" applyFont="1" applyBorder="1" applyAlignment="1">
      <alignment horizontal="left" indent="1"/>
    </xf>
    <xf numFmtId="0" fontId="86" fillId="0" borderId="10" xfId="0" applyFont="1" applyFill="1" applyBorder="1" applyAlignment="1">
      <alignment horizontal="right"/>
    </xf>
    <xf numFmtId="1" fontId="0" fillId="33" borderId="22" xfId="0" applyNumberFormat="1" applyFill="1" applyBorder="1" applyAlignment="1">
      <alignment/>
    </xf>
    <xf numFmtId="0" fontId="0" fillId="0" borderId="10" xfId="0" applyFont="1" applyFill="1" applyBorder="1" applyAlignment="1">
      <alignment horizontal="left"/>
    </xf>
    <xf numFmtId="0" fontId="88" fillId="0" borderId="10" xfId="0" applyFont="1" applyBorder="1" applyAlignment="1">
      <alignment/>
    </xf>
    <xf numFmtId="0" fontId="86" fillId="0" borderId="15" xfId="0" applyFont="1" applyFill="1" applyBorder="1" applyAlignment="1">
      <alignment horizontal="right"/>
    </xf>
    <xf numFmtId="0" fontId="0" fillId="0" borderId="18" xfId="0" applyBorder="1" applyAlignment="1">
      <alignment horizontal="center"/>
    </xf>
    <xf numFmtId="0" fontId="86" fillId="0" borderId="23" xfId="0" applyFont="1" applyBorder="1" applyAlignment="1">
      <alignment/>
    </xf>
    <xf numFmtId="1" fontId="86" fillId="33" borderId="22" xfId="0" applyNumberFormat="1" applyFont="1" applyFill="1" applyBorder="1" applyAlignment="1">
      <alignment/>
    </xf>
    <xf numFmtId="1" fontId="86" fillId="0" borderId="13" xfId="0" applyNumberFormat="1" applyFont="1" applyBorder="1" applyAlignment="1">
      <alignment/>
    </xf>
    <xf numFmtId="0" fontId="0" fillId="0" borderId="24" xfId="0" applyBorder="1" applyAlignment="1">
      <alignment/>
    </xf>
    <xf numFmtId="0" fontId="86" fillId="0" borderId="24" xfId="0" applyFont="1" applyFill="1" applyBorder="1" applyAlignment="1">
      <alignment/>
    </xf>
    <xf numFmtId="1" fontId="86" fillId="0" borderId="12" xfId="0" applyNumberFormat="1" applyFont="1" applyFill="1" applyBorder="1" applyAlignment="1">
      <alignment/>
    </xf>
    <xf numFmtId="0" fontId="86" fillId="0" borderId="16" xfId="0" applyFont="1" applyFill="1" applyBorder="1" applyAlignment="1">
      <alignment horizontal="center"/>
    </xf>
    <xf numFmtId="0" fontId="89" fillId="33" borderId="10" xfId="0" applyFont="1" applyFill="1" applyBorder="1" applyAlignment="1">
      <alignment/>
    </xf>
    <xf numFmtId="0" fontId="89" fillId="0" borderId="0" xfId="0" applyFont="1" applyAlignment="1">
      <alignment/>
    </xf>
    <xf numFmtId="0" fontId="89" fillId="0" borderId="0" xfId="0" applyFont="1" applyFill="1" applyAlignment="1">
      <alignment/>
    </xf>
    <xf numFmtId="0" fontId="0" fillId="0" borderId="15" xfId="0" applyBorder="1" applyAlignment="1">
      <alignment horizontal="right"/>
    </xf>
    <xf numFmtId="0" fontId="0" fillId="0" borderId="17" xfId="0" applyBorder="1" applyAlignment="1">
      <alignment horizontal="right"/>
    </xf>
    <xf numFmtId="1" fontId="0" fillId="0" borderId="10" xfId="0" applyNumberFormat="1" applyFill="1" applyBorder="1" applyAlignment="1" quotePrefix="1">
      <alignment horizontal="right"/>
    </xf>
    <xf numFmtId="0" fontId="86" fillId="34" borderId="0" xfId="0" applyFont="1" applyFill="1" applyAlignment="1">
      <alignment/>
    </xf>
    <xf numFmtId="1" fontId="90" fillId="0" borderId="10" xfId="0" applyNumberFormat="1" applyFont="1" applyBorder="1" applyAlignment="1">
      <alignment/>
    </xf>
    <xf numFmtId="0" fontId="0" fillId="0" borderId="11" xfId="0" applyBorder="1" applyAlignment="1">
      <alignment/>
    </xf>
    <xf numFmtId="0" fontId="0" fillId="0" borderId="10" xfId="0" applyFont="1" applyBorder="1" applyAlignment="1">
      <alignment horizontal="left"/>
    </xf>
    <xf numFmtId="1" fontId="84" fillId="35" borderId="10" xfId="0" applyNumberFormat="1" applyFont="1" applyFill="1" applyBorder="1" applyAlignment="1">
      <alignment/>
    </xf>
    <xf numFmtId="1" fontId="0" fillId="35" borderId="10" xfId="0" applyNumberFormat="1" applyFont="1" applyFill="1" applyBorder="1" applyAlignment="1">
      <alignment/>
    </xf>
    <xf numFmtId="0" fontId="84" fillId="0" borderId="0" xfId="0" applyFont="1" applyBorder="1" applyAlignment="1">
      <alignment/>
    </xf>
    <xf numFmtId="0" fontId="84" fillId="0" borderId="0" xfId="0" applyFont="1" applyFill="1" applyBorder="1" applyAlignment="1">
      <alignment horizontal="center"/>
    </xf>
    <xf numFmtId="1" fontId="84" fillId="0" borderId="0" xfId="0" applyNumberFormat="1" applyFont="1" applyBorder="1" applyAlignment="1">
      <alignment/>
    </xf>
    <xf numFmtId="1" fontId="84" fillId="35" borderId="10" xfId="0" applyNumberFormat="1" applyFont="1" applyFill="1" applyBorder="1" applyAlignment="1">
      <alignment/>
    </xf>
    <xf numFmtId="1" fontId="89" fillId="35" borderId="10" xfId="0" applyNumberFormat="1" applyFont="1" applyFill="1" applyBorder="1" applyAlignment="1">
      <alignment/>
    </xf>
    <xf numFmtId="0" fontId="0" fillId="35" borderId="10" xfId="0" applyFill="1" applyBorder="1" applyAlignment="1">
      <alignment/>
    </xf>
    <xf numFmtId="0" fontId="0" fillId="0" borderId="10" xfId="0" applyBorder="1" applyAlignment="1">
      <alignment horizontal="center" vertical="center" wrapText="1"/>
    </xf>
    <xf numFmtId="0" fontId="0" fillId="35" borderId="15" xfId="0" applyFill="1" applyBorder="1" applyAlignment="1">
      <alignment horizontal="center"/>
    </xf>
    <xf numFmtId="0" fontId="86" fillId="0" borderId="15" xfId="0" applyFont="1" applyBorder="1" applyAlignment="1">
      <alignment horizontal="right"/>
    </xf>
    <xf numFmtId="1" fontId="86" fillId="35" borderId="10" xfId="0" applyNumberFormat="1" applyFont="1" applyFill="1" applyBorder="1" applyAlignment="1">
      <alignment/>
    </xf>
    <xf numFmtId="1" fontId="86" fillId="35" borderId="13" xfId="0" applyNumberFormat="1" applyFont="1" applyFill="1" applyBorder="1" applyAlignment="1">
      <alignment/>
    </xf>
    <xf numFmtId="0" fontId="0" fillId="33" borderId="10" xfId="0" applyFont="1" applyFill="1" applyBorder="1" applyAlignment="1" quotePrefix="1">
      <alignment horizontal="left"/>
    </xf>
    <xf numFmtId="0" fontId="86" fillId="35" borderId="15" xfId="0" applyFont="1" applyFill="1" applyBorder="1" applyAlignment="1" quotePrefix="1">
      <alignment horizontal="right"/>
    </xf>
    <xf numFmtId="0" fontId="86" fillId="35" borderId="10" xfId="0" applyFont="1" applyFill="1" applyBorder="1" applyAlignment="1">
      <alignment horizontal="right"/>
    </xf>
    <xf numFmtId="0" fontId="86" fillId="35" borderId="17" xfId="0" applyFont="1" applyFill="1" applyBorder="1" applyAlignment="1" quotePrefix="1">
      <alignment horizontal="right"/>
    </xf>
    <xf numFmtId="0" fontId="86" fillId="35" borderId="13" xfId="0" applyFont="1" applyFill="1" applyBorder="1" applyAlignment="1">
      <alignment horizontal="right"/>
    </xf>
    <xf numFmtId="0" fontId="89" fillId="35" borderId="10" xfId="0" applyFont="1" applyFill="1" applyBorder="1" applyAlignment="1">
      <alignment horizontal="left"/>
    </xf>
    <xf numFmtId="0" fontId="84" fillId="35" borderId="10" xfId="0" applyFont="1" applyFill="1" applyBorder="1" applyAlignment="1">
      <alignment horizontal="left"/>
    </xf>
    <xf numFmtId="0" fontId="0" fillId="0" borderId="13" xfId="0" applyBorder="1" applyAlignment="1">
      <alignment horizontal="center" vertical="center" wrapText="1"/>
    </xf>
    <xf numFmtId="0" fontId="84" fillId="35" borderId="13" xfId="0" applyFont="1" applyFill="1" applyBorder="1" applyAlignment="1">
      <alignment horizontal="center" vertical="center"/>
    </xf>
    <xf numFmtId="0" fontId="0" fillId="33" borderId="13" xfId="0" applyFill="1" applyBorder="1" applyAlignment="1">
      <alignment horizontal="center" vertical="center" wrapText="1"/>
    </xf>
    <xf numFmtId="0" fontId="0" fillId="0" borderId="22" xfId="0" applyBorder="1" applyAlignment="1">
      <alignment horizontal="center" vertical="center" wrapText="1"/>
    </xf>
    <xf numFmtId="0" fontId="0" fillId="33" borderId="22" xfId="0" applyFill="1" applyBorder="1" applyAlignment="1">
      <alignment horizontal="center" vertical="center" wrapText="1"/>
    </xf>
    <xf numFmtId="0" fontId="84" fillId="0" borderId="24" xfId="0" applyFont="1" applyBorder="1" applyAlignment="1">
      <alignment/>
    </xf>
    <xf numFmtId="0" fontId="89" fillId="0" borderId="24" xfId="0" applyFont="1" applyBorder="1" applyAlignment="1">
      <alignment/>
    </xf>
    <xf numFmtId="0" fontId="86" fillId="0" borderId="24" xfId="0" applyFont="1" applyBorder="1" applyAlignment="1">
      <alignment/>
    </xf>
    <xf numFmtId="1" fontId="89" fillId="35" borderId="14" xfId="0" applyNumberFormat="1" applyFont="1" applyFill="1" applyBorder="1" applyAlignment="1">
      <alignment/>
    </xf>
    <xf numFmtId="1" fontId="89" fillId="35" borderId="13" xfId="0" applyNumberFormat="1" applyFont="1" applyFill="1" applyBorder="1" applyAlignment="1">
      <alignment/>
    </xf>
    <xf numFmtId="0" fontId="86" fillId="33" borderId="13" xfId="0" applyFont="1" applyFill="1" applyBorder="1" applyAlignment="1">
      <alignment/>
    </xf>
    <xf numFmtId="1" fontId="89" fillId="35" borderId="25" xfId="0" applyNumberFormat="1" applyFont="1" applyFill="1" applyBorder="1" applyAlignment="1">
      <alignment/>
    </xf>
    <xf numFmtId="1" fontId="91" fillId="35" borderId="26" xfId="0" applyNumberFormat="1" applyFont="1" applyFill="1" applyBorder="1" applyAlignment="1">
      <alignment/>
    </xf>
    <xf numFmtId="0" fontId="91" fillId="33" borderId="26" xfId="0" applyFont="1" applyFill="1" applyBorder="1" applyAlignment="1">
      <alignment/>
    </xf>
    <xf numFmtId="1" fontId="91" fillId="35" borderId="27" xfId="0" applyNumberFormat="1" applyFont="1" applyFill="1" applyBorder="1" applyAlignment="1">
      <alignment/>
    </xf>
    <xf numFmtId="0" fontId="91" fillId="0" borderId="0" xfId="0" applyFont="1" applyFill="1" applyBorder="1" applyAlignment="1">
      <alignment/>
    </xf>
    <xf numFmtId="0" fontId="91" fillId="0" borderId="0" xfId="0" applyFont="1" applyFill="1" applyAlignment="1">
      <alignment/>
    </xf>
    <xf numFmtId="0" fontId="91" fillId="0" borderId="0" xfId="0" applyFont="1" applyAlignment="1">
      <alignment/>
    </xf>
    <xf numFmtId="0" fontId="91" fillId="0" borderId="24" xfId="0" applyFont="1" applyBorder="1" applyAlignment="1">
      <alignment/>
    </xf>
    <xf numFmtId="1" fontId="0" fillId="0" borderId="24" xfId="0" applyNumberFormat="1" applyFont="1" applyBorder="1" applyAlignment="1">
      <alignment/>
    </xf>
    <xf numFmtId="1" fontId="84" fillId="35" borderId="14" xfId="0" applyNumberFormat="1" applyFont="1" applyFill="1" applyBorder="1" applyAlignment="1">
      <alignment/>
    </xf>
    <xf numFmtId="2" fontId="0" fillId="0" borderId="13" xfId="0" applyNumberFormat="1" applyBorder="1" applyAlignment="1">
      <alignment/>
    </xf>
    <xf numFmtId="1" fontId="0" fillId="0" borderId="24" xfId="0" applyNumberFormat="1" applyFont="1" applyFill="1" applyBorder="1" applyAlignment="1">
      <alignment/>
    </xf>
    <xf numFmtId="2" fontId="0" fillId="0" borderId="24" xfId="0" applyNumberFormat="1" applyFill="1" applyBorder="1" applyAlignment="1">
      <alignment/>
    </xf>
    <xf numFmtId="2" fontId="86" fillId="0" borderId="24" xfId="0" applyNumberFormat="1" applyFont="1" applyFill="1" applyBorder="1" applyAlignment="1">
      <alignment/>
    </xf>
    <xf numFmtId="0" fontId="86" fillId="0" borderId="17" xfId="0" applyFont="1" applyFill="1" applyBorder="1" applyAlignment="1">
      <alignment horizontal="right"/>
    </xf>
    <xf numFmtId="0" fontId="86" fillId="0" borderId="13" xfId="0" applyFont="1" applyBorder="1" applyAlignment="1">
      <alignment horizontal="right" indent="1"/>
    </xf>
    <xf numFmtId="172" fontId="86" fillId="0" borderId="13" xfId="0" applyNumberFormat="1" applyFont="1" applyBorder="1" applyAlignment="1">
      <alignment/>
    </xf>
    <xf numFmtId="1" fontId="86" fillId="0" borderId="28" xfId="0" applyNumberFormat="1" applyFont="1" applyBorder="1" applyAlignment="1">
      <alignment/>
    </xf>
    <xf numFmtId="1" fontId="89" fillId="35" borderId="29" xfId="0" applyNumberFormat="1" applyFont="1" applyFill="1" applyBorder="1" applyAlignment="1">
      <alignment/>
    </xf>
    <xf numFmtId="1" fontId="89" fillId="35" borderId="25" xfId="0" applyNumberFormat="1" applyFont="1" applyFill="1" applyBorder="1" applyAlignment="1">
      <alignment/>
    </xf>
    <xf numFmtId="1" fontId="92" fillId="0" borderId="30" xfId="0" applyNumberFormat="1" applyFont="1" applyFill="1" applyBorder="1" applyAlignment="1">
      <alignment/>
    </xf>
    <xf numFmtId="1" fontId="91" fillId="0" borderId="31" xfId="0" applyNumberFormat="1" applyFont="1" applyFill="1" applyBorder="1" applyAlignment="1">
      <alignment/>
    </xf>
    <xf numFmtId="0" fontId="92" fillId="0" borderId="0" xfId="0" applyFont="1" applyFill="1" applyBorder="1" applyAlignment="1">
      <alignment/>
    </xf>
    <xf numFmtId="1" fontId="89" fillId="35" borderId="14" xfId="0" applyNumberFormat="1" applyFont="1" applyFill="1" applyBorder="1" applyAlignment="1">
      <alignment/>
    </xf>
    <xf numFmtId="1" fontId="89" fillId="33" borderId="14" xfId="0" applyNumberFormat="1" applyFont="1" applyFill="1" applyBorder="1" applyAlignment="1">
      <alignment/>
    </xf>
    <xf numFmtId="1" fontId="84" fillId="35" borderId="19" xfId="0" applyNumberFormat="1" applyFont="1" applyFill="1" applyBorder="1" applyAlignment="1">
      <alignment/>
    </xf>
    <xf numFmtId="1" fontId="89" fillId="35" borderId="19" xfId="0" applyNumberFormat="1" applyFont="1" applyFill="1" applyBorder="1" applyAlignment="1">
      <alignment/>
    </xf>
    <xf numFmtId="1" fontId="0" fillId="0" borderId="32" xfId="0" applyNumberFormat="1" applyFill="1" applyBorder="1" applyAlignment="1">
      <alignment/>
    </xf>
    <xf numFmtId="1" fontId="0" fillId="0" borderId="13" xfId="0" applyNumberFormat="1" applyFill="1" applyBorder="1" applyAlignment="1">
      <alignment/>
    </xf>
    <xf numFmtId="1" fontId="84" fillId="35" borderId="33" xfId="0" applyNumberFormat="1" applyFont="1" applyFill="1" applyBorder="1" applyAlignment="1">
      <alignment/>
    </xf>
    <xf numFmtId="0" fontId="0" fillId="0" borderId="13" xfId="0" applyBorder="1" applyAlignment="1">
      <alignment wrapText="1"/>
    </xf>
    <xf numFmtId="172" fontId="84" fillId="35" borderId="14" xfId="0" applyNumberFormat="1" applyFont="1" applyFill="1" applyBorder="1" applyAlignment="1">
      <alignment/>
    </xf>
    <xf numFmtId="0" fontId="0" fillId="0" borderId="28" xfId="0" applyBorder="1" applyAlignment="1">
      <alignment/>
    </xf>
    <xf numFmtId="1" fontId="93" fillId="35" borderId="26" xfId="0" applyNumberFormat="1" applyFont="1" applyFill="1" applyBorder="1" applyAlignment="1">
      <alignment/>
    </xf>
    <xf numFmtId="1" fontId="93" fillId="35" borderId="27" xfId="0" applyNumberFormat="1" applyFont="1" applyFill="1" applyBorder="1" applyAlignment="1">
      <alignment/>
    </xf>
    <xf numFmtId="1" fontId="84" fillId="35" borderId="25" xfId="0" applyNumberFormat="1" applyFont="1" applyFill="1" applyBorder="1" applyAlignment="1">
      <alignment/>
    </xf>
    <xf numFmtId="0" fontId="0" fillId="0" borderId="34" xfId="0" applyFill="1" applyBorder="1" applyAlignment="1">
      <alignment horizontal="center"/>
    </xf>
    <xf numFmtId="0" fontId="0" fillId="0" borderId="35" xfId="0" applyFill="1" applyBorder="1" applyAlignment="1">
      <alignment/>
    </xf>
    <xf numFmtId="1" fontId="0" fillId="0" borderId="35" xfId="0" applyNumberFormat="1" applyFill="1" applyBorder="1" applyAlignment="1">
      <alignment/>
    </xf>
    <xf numFmtId="0" fontId="84" fillId="0" borderId="36" xfId="0" applyFont="1" applyFill="1" applyBorder="1" applyAlignment="1">
      <alignment/>
    </xf>
    <xf numFmtId="0" fontId="0" fillId="33" borderId="15" xfId="0" applyFill="1" applyBorder="1" applyAlignment="1">
      <alignment horizontal="center"/>
    </xf>
    <xf numFmtId="2" fontId="0" fillId="33" borderId="24" xfId="0" applyNumberFormat="1" applyFill="1" applyBorder="1" applyAlignment="1">
      <alignment/>
    </xf>
    <xf numFmtId="1" fontId="84" fillId="35" borderId="37" xfId="0" applyNumberFormat="1" applyFont="1" applyFill="1" applyBorder="1" applyAlignment="1">
      <alignment/>
    </xf>
    <xf numFmtId="1" fontId="89" fillId="35" borderId="38" xfId="0" applyNumberFormat="1" applyFont="1" applyFill="1" applyBorder="1" applyAlignment="1">
      <alignment/>
    </xf>
    <xf numFmtId="0" fontId="86" fillId="0" borderId="13" xfId="0" applyFont="1" applyFill="1" applyBorder="1" applyAlignment="1">
      <alignment/>
    </xf>
    <xf numFmtId="0" fontId="94" fillId="7" borderId="12" xfId="0" applyFont="1" applyFill="1" applyBorder="1" applyAlignment="1">
      <alignment horizontal="center"/>
    </xf>
    <xf numFmtId="0" fontId="94" fillId="7" borderId="12" xfId="0" applyFont="1" applyFill="1" applyBorder="1" applyAlignment="1">
      <alignment horizontal="right"/>
    </xf>
    <xf numFmtId="1" fontId="94" fillId="7" borderId="12" xfId="0" applyNumberFormat="1" applyFont="1" applyFill="1" applyBorder="1" applyAlignment="1">
      <alignment/>
    </xf>
    <xf numFmtId="1" fontId="95" fillId="7" borderId="12" xfId="0" applyNumberFormat="1" applyFont="1" applyFill="1" applyBorder="1" applyAlignment="1">
      <alignment/>
    </xf>
    <xf numFmtId="0" fontId="94" fillId="7" borderId="0" xfId="0" applyFont="1" applyFill="1" applyBorder="1" applyAlignment="1">
      <alignment/>
    </xf>
    <xf numFmtId="0" fontId="94" fillId="7" borderId="0" xfId="0" applyFont="1" applyFill="1" applyAlignment="1">
      <alignment/>
    </xf>
    <xf numFmtId="0" fontId="94" fillId="7" borderId="39" xfId="0" applyFont="1" applyFill="1" applyBorder="1" applyAlignment="1">
      <alignment horizontal="center"/>
    </xf>
    <xf numFmtId="0" fontId="94" fillId="7" borderId="23" xfId="0" applyFont="1" applyFill="1" applyBorder="1" applyAlignment="1">
      <alignment horizontal="right"/>
    </xf>
    <xf numFmtId="1" fontId="94" fillId="7" borderId="23" xfId="0" applyNumberFormat="1" applyFont="1" applyFill="1" applyBorder="1" applyAlignment="1">
      <alignment/>
    </xf>
    <xf numFmtId="1" fontId="95" fillId="7" borderId="39" xfId="0" applyNumberFormat="1" applyFont="1" applyFill="1" applyBorder="1" applyAlignment="1">
      <alignment/>
    </xf>
    <xf numFmtId="0" fontId="94" fillId="7" borderId="12" xfId="0" applyFont="1" applyFill="1" applyBorder="1" applyAlignment="1">
      <alignment/>
    </xf>
    <xf numFmtId="0" fontId="94" fillId="7" borderId="31" xfId="0" applyFont="1" applyFill="1" applyBorder="1" applyAlignment="1">
      <alignment/>
    </xf>
    <xf numFmtId="1" fontId="84" fillId="35" borderId="38" xfId="0" applyNumberFormat="1" applyFont="1" applyFill="1" applyBorder="1" applyAlignment="1">
      <alignment/>
    </xf>
    <xf numFmtId="0" fontId="86" fillId="0" borderId="18" xfId="0" applyFont="1" applyFill="1" applyBorder="1" applyAlignment="1" quotePrefix="1">
      <alignment horizontal="center"/>
    </xf>
    <xf numFmtId="0" fontId="86" fillId="0" borderId="0" xfId="0" applyFont="1" applyBorder="1" applyAlignment="1">
      <alignment/>
    </xf>
    <xf numFmtId="172" fontId="86" fillId="0" borderId="0" xfId="0" applyNumberFormat="1" applyFont="1" applyBorder="1" applyAlignment="1">
      <alignment/>
    </xf>
    <xf numFmtId="2" fontId="86" fillId="0" borderId="0" xfId="0" applyNumberFormat="1" applyFont="1" applyFill="1" applyBorder="1" applyAlignment="1">
      <alignment/>
    </xf>
    <xf numFmtId="2" fontId="89" fillId="36" borderId="0" xfId="0" applyNumberFormat="1" applyFont="1" applyFill="1" applyBorder="1" applyAlignment="1">
      <alignment/>
    </xf>
    <xf numFmtId="2" fontId="86" fillId="36" borderId="0" xfId="0" applyNumberFormat="1" applyFont="1" applyFill="1" applyBorder="1" applyAlignment="1">
      <alignment/>
    </xf>
    <xf numFmtId="0" fontId="86" fillId="36" borderId="0" xfId="0" applyFont="1" applyFill="1" applyBorder="1" applyAlignment="1">
      <alignment/>
    </xf>
    <xf numFmtId="1" fontId="92" fillId="0" borderId="16" xfId="0" applyNumberFormat="1" applyFont="1" applyFill="1" applyBorder="1" applyAlignment="1">
      <alignment/>
    </xf>
    <xf numFmtId="2" fontId="0" fillId="33" borderId="15" xfId="0" applyNumberFormat="1" applyFill="1" applyBorder="1" applyAlignment="1">
      <alignment/>
    </xf>
    <xf numFmtId="2" fontId="86" fillId="0" borderId="39" xfId="0" applyNumberFormat="1" applyFont="1" applyFill="1" applyBorder="1" applyAlignment="1">
      <alignment/>
    </xf>
    <xf numFmtId="2" fontId="86" fillId="0" borderId="40" xfId="0" applyNumberFormat="1" applyFont="1" applyFill="1" applyBorder="1" applyAlignment="1">
      <alignment/>
    </xf>
    <xf numFmtId="1" fontId="0" fillId="0" borderId="15" xfId="0" applyNumberFormat="1" applyFont="1" applyBorder="1" applyAlignment="1">
      <alignment/>
    </xf>
    <xf numFmtId="0" fontId="86" fillId="0" borderId="15" xfId="0" applyFont="1" applyFill="1" applyBorder="1" applyAlignment="1">
      <alignment/>
    </xf>
    <xf numFmtId="2" fontId="86" fillId="0" borderId="10" xfId="0" applyNumberFormat="1" applyFont="1" applyBorder="1" applyAlignment="1">
      <alignment/>
    </xf>
    <xf numFmtId="0" fontId="86" fillId="0" borderId="10" xfId="0" applyFont="1" applyBorder="1" applyAlignment="1">
      <alignment horizontal="left"/>
    </xf>
    <xf numFmtId="1" fontId="86" fillId="0" borderId="24" xfId="0" applyNumberFormat="1" applyFont="1" applyBorder="1" applyAlignment="1">
      <alignment/>
    </xf>
    <xf numFmtId="0" fontId="86" fillId="0" borderId="13" xfId="0" applyFont="1" applyBorder="1" applyAlignment="1">
      <alignment horizontal="left"/>
    </xf>
    <xf numFmtId="0" fontId="0" fillId="0" borderId="13" xfId="0" applyBorder="1" applyAlignment="1">
      <alignment horizontal="center" wrapText="1"/>
    </xf>
    <xf numFmtId="172" fontId="89" fillId="35" borderId="14" xfId="0" applyNumberFormat="1" applyFont="1" applyFill="1" applyBorder="1" applyAlignment="1">
      <alignment/>
    </xf>
    <xf numFmtId="1" fontId="84" fillId="0" borderId="10" xfId="0" applyNumberFormat="1" applyFont="1" applyFill="1" applyBorder="1" applyAlignment="1">
      <alignment/>
    </xf>
    <xf numFmtId="2" fontId="84" fillId="35" borderId="14" xfId="0" applyNumberFormat="1" applyFont="1" applyFill="1" applyBorder="1" applyAlignment="1">
      <alignment/>
    </xf>
    <xf numFmtId="0" fontId="0" fillId="0" borderId="17" xfId="0" applyFont="1" applyFill="1" applyBorder="1" applyAlignment="1">
      <alignment horizontal="center"/>
    </xf>
    <xf numFmtId="0" fontId="0" fillId="0" borderId="13" xfId="0" applyFont="1" applyFill="1" applyBorder="1" applyAlignment="1">
      <alignment/>
    </xf>
    <xf numFmtId="0" fontId="0" fillId="0" borderId="17" xfId="0" applyFill="1" applyBorder="1" applyAlignment="1" quotePrefix="1">
      <alignment horizontal="center"/>
    </xf>
    <xf numFmtId="0" fontId="0" fillId="0" borderId="13" xfId="0" applyFill="1" applyBorder="1" applyAlignment="1" quotePrefix="1">
      <alignment horizontal="left"/>
    </xf>
    <xf numFmtId="1" fontId="0" fillId="0" borderId="13" xfId="0" applyNumberFormat="1" applyFill="1" applyBorder="1" applyAlignment="1" quotePrefix="1">
      <alignment horizontal="right"/>
    </xf>
    <xf numFmtId="0" fontId="89" fillId="35" borderId="15" xfId="0" applyFont="1" applyFill="1" applyBorder="1" applyAlignment="1">
      <alignment horizontal="right"/>
    </xf>
    <xf numFmtId="0" fontId="89" fillId="35" borderId="10" xfId="0" applyFont="1" applyFill="1" applyBorder="1" applyAlignment="1">
      <alignment/>
    </xf>
    <xf numFmtId="1" fontId="89" fillId="35" borderId="10" xfId="0" applyNumberFormat="1" applyFont="1" applyFill="1" applyBorder="1" applyAlignment="1">
      <alignment/>
    </xf>
    <xf numFmtId="0" fontId="89" fillId="35" borderId="17" xfId="0" applyFont="1" applyFill="1" applyBorder="1" applyAlignment="1">
      <alignment horizontal="right"/>
    </xf>
    <xf numFmtId="0" fontId="89" fillId="35" borderId="13" xfId="0" applyFont="1" applyFill="1" applyBorder="1" applyAlignment="1">
      <alignment/>
    </xf>
    <xf numFmtId="1" fontId="89" fillId="35" borderId="13" xfId="0" applyNumberFormat="1" applyFont="1" applyFill="1" applyBorder="1" applyAlignment="1">
      <alignment/>
    </xf>
    <xf numFmtId="0" fontId="91" fillId="35" borderId="41" xfId="0" applyFont="1" applyFill="1" applyBorder="1" applyAlignment="1" quotePrefix="1">
      <alignment horizontal="center"/>
    </xf>
    <xf numFmtId="0" fontId="91" fillId="35" borderId="26" xfId="0" applyFont="1" applyFill="1" applyBorder="1" applyAlignment="1">
      <alignment/>
    </xf>
    <xf numFmtId="0" fontId="91" fillId="35" borderId="26" xfId="0" applyFont="1" applyFill="1" applyBorder="1" applyAlignment="1">
      <alignment/>
    </xf>
    <xf numFmtId="1" fontId="91" fillId="35" borderId="26" xfId="0" applyNumberFormat="1" applyFont="1" applyFill="1" applyBorder="1" applyAlignment="1">
      <alignment/>
    </xf>
    <xf numFmtId="0" fontId="91" fillId="35" borderId="26" xfId="0" applyFont="1" applyFill="1" applyBorder="1" applyAlignment="1">
      <alignment horizontal="right"/>
    </xf>
    <xf numFmtId="1" fontId="0" fillId="35" borderId="13" xfId="0" applyNumberFormat="1" applyFill="1" applyBorder="1" applyAlignment="1">
      <alignment horizontal="right"/>
    </xf>
    <xf numFmtId="1" fontId="91" fillId="35" borderId="26" xfId="0" applyNumberFormat="1" applyFont="1" applyFill="1" applyBorder="1" applyAlignment="1">
      <alignment horizontal="right"/>
    </xf>
    <xf numFmtId="0" fontId="0" fillId="35" borderId="13" xfId="0" applyFill="1" applyBorder="1" applyAlignment="1">
      <alignment horizontal="right"/>
    </xf>
    <xf numFmtId="0" fontId="0" fillId="0" borderId="15" xfId="0" applyBorder="1" applyAlignment="1">
      <alignment horizontal="center"/>
    </xf>
    <xf numFmtId="1" fontId="84" fillId="35" borderId="14" xfId="0" applyNumberFormat="1" applyFont="1" applyFill="1" applyBorder="1" applyAlignment="1">
      <alignment/>
    </xf>
    <xf numFmtId="172" fontId="89" fillId="35" borderId="25" xfId="0" applyNumberFormat="1" applyFont="1" applyFill="1" applyBorder="1" applyAlignment="1">
      <alignment/>
    </xf>
    <xf numFmtId="1" fontId="84" fillId="35" borderId="13" xfId="0" applyNumberFormat="1" applyFont="1" applyFill="1" applyBorder="1" applyAlignment="1">
      <alignment/>
    </xf>
    <xf numFmtId="0" fontId="84" fillId="0" borderId="35" xfId="0" applyFont="1" applyFill="1" applyBorder="1" applyAlignment="1">
      <alignment/>
    </xf>
    <xf numFmtId="2" fontId="84" fillId="35" borderId="13" xfId="0" applyNumberFormat="1" applyFont="1" applyFill="1" applyBorder="1" applyAlignment="1">
      <alignment/>
    </xf>
    <xf numFmtId="1" fontId="84" fillId="35" borderId="10" xfId="0" applyNumberFormat="1" applyFont="1" applyFill="1" applyBorder="1" applyAlignment="1" quotePrefix="1">
      <alignment horizontal="right"/>
    </xf>
    <xf numFmtId="172" fontId="89" fillId="35" borderId="10" xfId="0" applyNumberFormat="1" applyFont="1" applyFill="1" applyBorder="1" applyAlignment="1">
      <alignment/>
    </xf>
    <xf numFmtId="1" fontId="89" fillId="33" borderId="10" xfId="0" applyNumberFormat="1" applyFont="1" applyFill="1" applyBorder="1" applyAlignment="1">
      <alignment/>
    </xf>
    <xf numFmtId="1" fontId="84" fillId="35" borderId="13" xfId="0" applyNumberFormat="1" applyFont="1" applyFill="1" applyBorder="1" applyAlignment="1">
      <alignment/>
    </xf>
    <xf numFmtId="1" fontId="95" fillId="7" borderId="23" xfId="0" applyNumberFormat="1" applyFont="1" applyFill="1" applyBorder="1" applyAlignment="1">
      <alignment/>
    </xf>
    <xf numFmtId="1" fontId="84" fillId="35" borderId="12" xfId="0" applyNumberFormat="1" applyFont="1" applyFill="1" applyBorder="1" applyAlignment="1">
      <alignment/>
    </xf>
    <xf numFmtId="1" fontId="89" fillId="35" borderId="12" xfId="0" applyNumberFormat="1" applyFont="1" applyFill="1" applyBorder="1" applyAlignment="1">
      <alignment/>
    </xf>
    <xf numFmtId="2" fontId="84" fillId="35" borderId="10" xfId="0" applyNumberFormat="1" applyFont="1" applyFill="1" applyBorder="1" applyAlignment="1">
      <alignment/>
    </xf>
    <xf numFmtId="172" fontId="89" fillId="35" borderId="13" xfId="0" applyNumberFormat="1" applyFont="1" applyFill="1" applyBorder="1" applyAlignment="1">
      <alignment/>
    </xf>
    <xf numFmtId="172" fontId="84" fillId="35" borderId="10" xfId="0" applyNumberFormat="1" applyFont="1" applyFill="1" applyBorder="1" applyAlignment="1">
      <alignment/>
    </xf>
    <xf numFmtId="172" fontId="89" fillId="33" borderId="10" xfId="0" applyNumberFormat="1" applyFont="1" applyFill="1" applyBorder="1" applyAlignment="1">
      <alignment/>
    </xf>
    <xf numFmtId="172" fontId="89" fillId="33" borderId="13" xfId="0" applyNumberFormat="1" applyFont="1" applyFill="1" applyBorder="1" applyAlignment="1">
      <alignment/>
    </xf>
    <xf numFmtId="172" fontId="89" fillId="0" borderId="0" xfId="0" applyNumberFormat="1" applyFont="1" applyFill="1" applyBorder="1" applyAlignment="1">
      <alignment/>
    </xf>
    <xf numFmtId="0" fontId="84" fillId="33" borderId="13" xfId="0" applyFont="1" applyFill="1" applyBorder="1" applyAlignment="1">
      <alignment/>
    </xf>
    <xf numFmtId="172" fontId="0" fillId="33" borderId="10" xfId="0" applyNumberFormat="1" applyFill="1" applyBorder="1" applyAlignment="1">
      <alignment/>
    </xf>
    <xf numFmtId="2" fontId="89" fillId="33" borderId="10" xfId="0" applyNumberFormat="1" applyFont="1" applyFill="1" applyBorder="1" applyAlignment="1">
      <alignment/>
    </xf>
    <xf numFmtId="2" fontId="86" fillId="35" borderId="14" xfId="0" applyNumberFormat="1" applyFont="1" applyFill="1" applyBorder="1" applyAlignment="1">
      <alignment/>
    </xf>
    <xf numFmtId="1" fontId="86" fillId="35" borderId="29" xfId="0" applyNumberFormat="1" applyFont="1" applyFill="1" applyBorder="1" applyAlignment="1">
      <alignment/>
    </xf>
    <xf numFmtId="172" fontId="0" fillId="35" borderId="10" xfId="0" applyNumberFormat="1" applyFill="1" applyBorder="1" applyAlignment="1">
      <alignment/>
    </xf>
    <xf numFmtId="0" fontId="0" fillId="0" borderId="12" xfId="0" applyBorder="1" applyAlignment="1">
      <alignment wrapText="1"/>
    </xf>
    <xf numFmtId="0" fontId="84" fillId="35" borderId="10" xfId="0" applyFont="1" applyFill="1" applyBorder="1" applyAlignment="1">
      <alignment/>
    </xf>
    <xf numFmtId="172" fontId="0" fillId="0" borderId="13" xfId="59" applyNumberFormat="1" applyFont="1" applyFill="1" applyBorder="1" applyAlignment="1">
      <alignment/>
    </xf>
    <xf numFmtId="1" fontId="0" fillId="35" borderId="10" xfId="0" applyNumberFormat="1" applyFill="1" applyBorder="1" applyAlignment="1">
      <alignment/>
    </xf>
    <xf numFmtId="172" fontId="0" fillId="0" borderId="13" xfId="0" applyNumberFormat="1" applyFill="1" applyBorder="1" applyAlignment="1">
      <alignment/>
    </xf>
    <xf numFmtId="172" fontId="84" fillId="35" borderId="13" xfId="0" applyNumberFormat="1" applyFont="1" applyFill="1" applyBorder="1" applyAlignment="1">
      <alignment/>
    </xf>
    <xf numFmtId="172" fontId="84" fillId="35" borderId="25" xfId="0" applyNumberFormat="1" applyFont="1" applyFill="1" applyBorder="1" applyAlignment="1">
      <alignment/>
    </xf>
    <xf numFmtId="172" fontId="86" fillId="0" borderId="10" xfId="0" applyNumberFormat="1" applyFont="1" applyFill="1" applyBorder="1" applyAlignment="1">
      <alignment/>
    </xf>
    <xf numFmtId="0" fontId="84" fillId="33" borderId="25" xfId="0" applyFont="1" applyFill="1" applyBorder="1" applyAlignment="1">
      <alignment/>
    </xf>
    <xf numFmtId="0" fontId="84" fillId="35" borderId="15" xfId="0" applyFont="1" applyFill="1" applyBorder="1" applyAlignment="1">
      <alignment horizontal="center"/>
    </xf>
    <xf numFmtId="0" fontId="0" fillId="0" borderId="0" xfId="0" applyAlignment="1">
      <alignment horizontal="center"/>
    </xf>
    <xf numFmtId="172" fontId="0" fillId="0" borderId="24" xfId="0" applyNumberFormat="1" applyBorder="1" applyAlignment="1">
      <alignment/>
    </xf>
    <xf numFmtId="1" fontId="84" fillId="35" borderId="11" xfId="0" applyNumberFormat="1" applyFont="1" applyFill="1" applyBorder="1" applyAlignment="1">
      <alignment/>
    </xf>
    <xf numFmtId="172" fontId="0" fillId="0" borderId="42" xfId="0" applyNumberFormat="1" applyBorder="1" applyAlignment="1">
      <alignment/>
    </xf>
    <xf numFmtId="2" fontId="0" fillId="0" borderId="24" xfId="0" applyNumberFormat="1" applyFont="1" applyBorder="1" applyAlignment="1">
      <alignment/>
    </xf>
    <xf numFmtId="0" fontId="84" fillId="33" borderId="24" xfId="0" applyFont="1" applyFill="1" applyBorder="1" applyAlignment="1">
      <alignment/>
    </xf>
    <xf numFmtId="1" fontId="84" fillId="33" borderId="11" xfId="0" applyNumberFormat="1" applyFont="1" applyFill="1" applyBorder="1" applyAlignment="1">
      <alignment/>
    </xf>
    <xf numFmtId="0" fontId="0" fillId="33" borderId="24" xfId="0" applyFont="1" applyFill="1" applyBorder="1" applyAlignment="1">
      <alignment/>
    </xf>
    <xf numFmtId="1" fontId="0" fillId="33" borderId="11" xfId="0" applyNumberFormat="1" applyFont="1" applyFill="1" applyBorder="1" applyAlignment="1">
      <alignment/>
    </xf>
    <xf numFmtId="0" fontId="86" fillId="33" borderId="24" xfId="0" applyFont="1" applyFill="1" applyBorder="1" applyAlignment="1">
      <alignment/>
    </xf>
    <xf numFmtId="1" fontId="86" fillId="33" borderId="11" xfId="0" applyNumberFormat="1" applyFont="1" applyFill="1" applyBorder="1" applyAlignment="1">
      <alignment/>
    </xf>
    <xf numFmtId="1" fontId="92" fillId="33" borderId="30" xfId="0" applyNumberFormat="1" applyFont="1" applyFill="1" applyBorder="1" applyAlignment="1">
      <alignment/>
    </xf>
    <xf numFmtId="1" fontId="91" fillId="33" borderId="31" xfId="0" applyNumberFormat="1" applyFont="1" applyFill="1" applyBorder="1" applyAlignment="1">
      <alignment/>
    </xf>
    <xf numFmtId="0" fontId="0" fillId="33" borderId="24" xfId="0" applyFill="1" applyBorder="1" applyAlignment="1">
      <alignment/>
    </xf>
    <xf numFmtId="1" fontId="0" fillId="33" borderId="11" xfId="0" applyNumberFormat="1" applyFill="1" applyBorder="1" applyAlignment="1">
      <alignment/>
    </xf>
    <xf numFmtId="0" fontId="0" fillId="33" borderId="30" xfId="0" applyFill="1" applyBorder="1" applyAlignment="1">
      <alignment/>
    </xf>
    <xf numFmtId="0" fontId="0" fillId="33" borderId="31" xfId="0" applyFill="1" applyBorder="1" applyAlignment="1">
      <alignment/>
    </xf>
    <xf numFmtId="0" fontId="86" fillId="33" borderId="11" xfId="0" applyFont="1" applyFill="1" applyBorder="1" applyAlignment="1">
      <alignment/>
    </xf>
    <xf numFmtId="2" fontId="86" fillId="33" borderId="24" xfId="0" applyNumberFormat="1" applyFont="1" applyFill="1" applyBorder="1" applyAlignment="1">
      <alignment/>
    </xf>
    <xf numFmtId="172" fontId="0" fillId="0" borderId="24" xfId="0" applyNumberFormat="1" applyFill="1" applyBorder="1" applyAlignment="1">
      <alignment/>
    </xf>
    <xf numFmtId="1" fontId="0" fillId="33" borderId="24" xfId="0" applyNumberFormat="1" applyFont="1" applyFill="1" applyBorder="1" applyAlignment="1">
      <alignment/>
    </xf>
    <xf numFmtId="172" fontId="86" fillId="0" borderId="24" xfId="0" applyNumberFormat="1" applyFont="1" applyFill="1" applyBorder="1" applyAlignment="1">
      <alignment/>
    </xf>
    <xf numFmtId="172" fontId="0" fillId="0" borderId="24" xfId="0" applyNumberFormat="1" applyFont="1" applyFill="1" applyBorder="1" applyAlignment="1">
      <alignment/>
    </xf>
    <xf numFmtId="0" fontId="0" fillId="33" borderId="0" xfId="0" applyFill="1" applyBorder="1" applyAlignment="1">
      <alignment/>
    </xf>
    <xf numFmtId="0" fontId="0" fillId="0" borderId="43" xfId="0" applyFont="1" applyFill="1" applyBorder="1" applyAlignment="1">
      <alignment/>
    </xf>
    <xf numFmtId="0" fontId="84" fillId="35" borderId="22" xfId="0" applyFont="1" applyFill="1" applyBorder="1" applyAlignment="1">
      <alignment horizontal="center" vertical="center" wrapText="1"/>
    </xf>
    <xf numFmtId="0" fontId="84" fillId="35" borderId="10" xfId="0" applyFont="1" applyFill="1" applyBorder="1" applyAlignment="1">
      <alignment horizontal="center" vertical="center" wrapText="1"/>
    </xf>
    <xf numFmtId="0" fontId="0" fillId="0" borderId="15" xfId="0" applyBorder="1" applyAlignment="1">
      <alignment horizontal="center" vertical="center" wrapText="1"/>
    </xf>
    <xf numFmtId="1" fontId="0" fillId="0" borderId="17" xfId="0" applyNumberFormat="1" applyFill="1" applyBorder="1" applyAlignment="1" quotePrefix="1">
      <alignment horizontal="right"/>
    </xf>
    <xf numFmtId="1" fontId="0" fillId="0" borderId="28" xfId="0" applyNumberFormat="1" applyFill="1" applyBorder="1" applyAlignment="1" quotePrefix="1">
      <alignment horizontal="right"/>
    </xf>
    <xf numFmtId="1" fontId="0" fillId="33" borderId="15" xfId="0" applyNumberFormat="1" applyFont="1" applyFill="1" applyBorder="1" applyAlignment="1">
      <alignment/>
    </xf>
    <xf numFmtId="1" fontId="0" fillId="0" borderId="15" xfId="0" applyNumberFormat="1" applyBorder="1" applyAlignment="1">
      <alignment/>
    </xf>
    <xf numFmtId="1" fontId="84" fillId="35" borderId="15" xfId="0" applyNumberFormat="1" applyFont="1" applyFill="1" applyBorder="1" applyAlignment="1">
      <alignment/>
    </xf>
    <xf numFmtId="172" fontId="86" fillId="0" borderId="17" xfId="0" applyNumberFormat="1" applyFont="1" applyBorder="1" applyAlignment="1">
      <alignment/>
    </xf>
    <xf numFmtId="172" fontId="0" fillId="35" borderId="24" xfId="0" applyNumberFormat="1" applyFont="1" applyFill="1" applyBorder="1" applyAlignment="1">
      <alignment/>
    </xf>
    <xf numFmtId="1" fontId="92" fillId="33" borderId="16" xfId="0" applyNumberFormat="1" applyFont="1" applyFill="1" applyBorder="1" applyAlignment="1">
      <alignment/>
    </xf>
    <xf numFmtId="1" fontId="0" fillId="33" borderId="16" xfId="0" applyNumberFormat="1" applyFont="1" applyFill="1" applyBorder="1" applyAlignment="1">
      <alignment/>
    </xf>
    <xf numFmtId="1" fontId="0" fillId="33" borderId="30" xfId="0" applyNumberFormat="1" applyFont="1" applyFill="1" applyBorder="1" applyAlignment="1">
      <alignment/>
    </xf>
    <xf numFmtId="1" fontId="86" fillId="33" borderId="15" xfId="0" applyNumberFormat="1" applyFont="1" applyFill="1" applyBorder="1" applyAlignment="1">
      <alignment/>
    </xf>
    <xf numFmtId="1" fontId="86" fillId="33" borderId="24" xfId="0" applyNumberFormat="1" applyFont="1" applyFill="1" applyBorder="1" applyAlignment="1">
      <alignment/>
    </xf>
    <xf numFmtId="1" fontId="91" fillId="33" borderId="44" xfId="0" applyNumberFormat="1" applyFont="1" applyFill="1" applyBorder="1" applyAlignment="1">
      <alignment/>
    </xf>
    <xf numFmtId="2" fontId="86" fillId="33" borderId="28" xfId="0" applyNumberFormat="1" applyFont="1" applyFill="1" applyBorder="1" applyAlignment="1">
      <alignment/>
    </xf>
    <xf numFmtId="1" fontId="91" fillId="33" borderId="38" xfId="0" applyNumberFormat="1" applyFont="1" applyFill="1" applyBorder="1" applyAlignment="1">
      <alignment/>
    </xf>
    <xf numFmtId="1" fontId="84" fillId="33" borderId="38" xfId="0" applyNumberFormat="1" applyFont="1" applyFill="1" applyBorder="1" applyAlignment="1">
      <alignment/>
    </xf>
    <xf numFmtId="2" fontId="0" fillId="33" borderId="14" xfId="0" applyNumberFormat="1" applyFill="1" applyBorder="1" applyAlignment="1">
      <alignment/>
    </xf>
    <xf numFmtId="172" fontId="86" fillId="0" borderId="15" xfId="0" applyNumberFormat="1" applyFont="1" applyBorder="1" applyAlignment="1">
      <alignment/>
    </xf>
    <xf numFmtId="2" fontId="86" fillId="33" borderId="14" xfId="0" applyNumberFormat="1" applyFont="1" applyFill="1" applyBorder="1" applyAlignment="1">
      <alignment/>
    </xf>
    <xf numFmtId="172" fontId="86" fillId="0" borderId="28" xfId="0" applyNumberFormat="1" applyFont="1" applyFill="1" applyBorder="1" applyAlignment="1">
      <alignment/>
    </xf>
    <xf numFmtId="172" fontId="0" fillId="35" borderId="28" xfId="0" applyNumberFormat="1" applyFont="1" applyFill="1" applyBorder="1" applyAlignment="1">
      <alignment/>
    </xf>
    <xf numFmtId="2" fontId="86" fillId="33" borderId="25" xfId="0" applyNumberFormat="1" applyFont="1" applyFill="1" applyBorder="1" applyAlignment="1">
      <alignment/>
    </xf>
    <xf numFmtId="0" fontId="86" fillId="33" borderId="28" xfId="0" applyFont="1" applyFill="1" applyBorder="1" applyAlignment="1">
      <alignment/>
    </xf>
    <xf numFmtId="0" fontId="0" fillId="33" borderId="28" xfId="0" applyFill="1" applyBorder="1" applyAlignment="1">
      <alignment/>
    </xf>
    <xf numFmtId="1" fontId="0" fillId="33" borderId="43" xfId="0" applyNumberFormat="1" applyFill="1" applyBorder="1" applyAlignment="1">
      <alignment/>
    </xf>
    <xf numFmtId="2" fontId="84" fillId="35" borderId="43" xfId="0" applyNumberFormat="1" applyFont="1" applyFill="1" applyBorder="1" applyAlignment="1">
      <alignment/>
    </xf>
    <xf numFmtId="0" fontId="0" fillId="0" borderId="15" xfId="0" applyBorder="1" applyAlignment="1">
      <alignment/>
    </xf>
    <xf numFmtId="2" fontId="0" fillId="0" borderId="17" xfId="0" applyNumberFormat="1" applyBorder="1" applyAlignment="1">
      <alignment/>
    </xf>
    <xf numFmtId="1" fontId="0" fillId="0" borderId="28" xfId="0" applyNumberFormat="1" applyFont="1" applyBorder="1" applyAlignment="1">
      <alignment/>
    </xf>
    <xf numFmtId="0" fontId="0" fillId="0" borderId="17" xfId="0" applyBorder="1" applyAlignment="1">
      <alignment horizontal="center" vertical="center" wrapText="1"/>
    </xf>
    <xf numFmtId="0" fontId="84" fillId="35" borderId="13" xfId="0" applyFont="1" applyFill="1" applyBorder="1" applyAlignment="1">
      <alignment horizontal="center" vertical="center" wrapText="1"/>
    </xf>
    <xf numFmtId="1" fontId="0" fillId="0" borderId="13" xfId="0" applyNumberFormat="1" applyFont="1" applyFill="1" applyBorder="1" applyAlignment="1">
      <alignment/>
    </xf>
    <xf numFmtId="1" fontId="84" fillId="0" borderId="13" xfId="0" applyNumberFormat="1" applyFont="1" applyFill="1" applyBorder="1" applyAlignment="1">
      <alignment/>
    </xf>
    <xf numFmtId="0" fontId="92" fillId="0" borderId="0" xfId="0" applyFont="1" applyAlignment="1">
      <alignment/>
    </xf>
    <xf numFmtId="0" fontId="96" fillId="0" borderId="0" xfId="0" applyFont="1" applyFill="1" applyBorder="1" applyAlignment="1">
      <alignment/>
    </xf>
    <xf numFmtId="1" fontId="0" fillId="0" borderId="11" xfId="0" applyNumberFormat="1" applyFont="1" applyFill="1" applyBorder="1" applyAlignment="1">
      <alignment/>
    </xf>
    <xf numFmtId="1" fontId="0" fillId="0" borderId="43" xfId="0" applyNumberFormat="1" applyBorder="1" applyAlignment="1">
      <alignment/>
    </xf>
    <xf numFmtId="1" fontId="0" fillId="35" borderId="10" xfId="0" applyNumberFormat="1" applyFont="1" applyFill="1" applyBorder="1" applyAlignment="1">
      <alignment horizontal="right"/>
    </xf>
    <xf numFmtId="0" fontId="84" fillId="35" borderId="45" xfId="0" applyFont="1" applyFill="1" applyBorder="1" applyAlignment="1">
      <alignment wrapText="1"/>
    </xf>
    <xf numFmtId="0" fontId="84" fillId="35" borderId="14" xfId="0" applyNumberFormat="1" applyFont="1" applyFill="1" applyBorder="1" applyAlignment="1">
      <alignment/>
    </xf>
    <xf numFmtId="1" fontId="84" fillId="35" borderId="25" xfId="0" applyNumberFormat="1" applyFont="1" applyFill="1" applyBorder="1" applyAlignment="1">
      <alignment/>
    </xf>
    <xf numFmtId="1" fontId="84" fillId="35" borderId="10" xfId="0" applyNumberFormat="1" applyFont="1" applyFill="1" applyBorder="1" applyAlignment="1">
      <alignment horizontal="right"/>
    </xf>
    <xf numFmtId="1" fontId="0" fillId="35" borderId="13" xfId="0" applyNumberFormat="1" applyFill="1" applyBorder="1" applyAlignment="1">
      <alignment/>
    </xf>
    <xf numFmtId="0" fontId="0" fillId="33" borderId="19" xfId="0" applyNumberFormat="1" applyFill="1" applyBorder="1" applyAlignment="1">
      <alignment/>
    </xf>
    <xf numFmtId="0" fontId="86" fillId="33" borderId="19" xfId="0" applyFont="1" applyFill="1" applyBorder="1" applyAlignment="1">
      <alignment/>
    </xf>
    <xf numFmtId="0" fontId="86" fillId="33" borderId="33" xfId="0" applyFont="1" applyFill="1" applyBorder="1" applyAlignment="1">
      <alignment/>
    </xf>
    <xf numFmtId="0" fontId="84" fillId="0" borderId="46" xfId="0" applyFont="1" applyBorder="1" applyAlignment="1">
      <alignment horizontal="center" vertical="center"/>
    </xf>
    <xf numFmtId="0" fontId="0" fillId="0" borderId="47" xfId="0" applyBorder="1" applyAlignment="1">
      <alignment horizontal="center" vertical="center" wrapText="1"/>
    </xf>
    <xf numFmtId="2" fontId="0" fillId="33" borderId="48" xfId="0" applyNumberFormat="1" applyFill="1" applyBorder="1" applyAlignment="1">
      <alignment/>
    </xf>
    <xf numFmtId="0" fontId="0" fillId="33" borderId="19" xfId="0" applyFont="1" applyFill="1" applyBorder="1" applyAlignment="1">
      <alignment/>
    </xf>
    <xf numFmtId="0" fontId="84" fillId="33" borderId="19" xfId="0" applyFont="1" applyFill="1" applyBorder="1" applyAlignment="1">
      <alignment/>
    </xf>
    <xf numFmtId="1" fontId="92" fillId="33" borderId="41" xfId="0" applyNumberFormat="1" applyFont="1" applyFill="1" applyBorder="1" applyAlignment="1">
      <alignment/>
    </xf>
    <xf numFmtId="1" fontId="92" fillId="33" borderId="49" xfId="0" applyNumberFormat="1" applyFont="1" applyFill="1" applyBorder="1" applyAlignment="1">
      <alignment/>
    </xf>
    <xf numFmtId="1" fontId="91" fillId="33" borderId="50" xfId="0" applyNumberFormat="1" applyFont="1" applyFill="1" applyBorder="1" applyAlignment="1">
      <alignment/>
    </xf>
    <xf numFmtId="1" fontId="91" fillId="33" borderId="46" xfId="0" applyNumberFormat="1" applyFont="1" applyFill="1" applyBorder="1" applyAlignment="1">
      <alignment/>
    </xf>
    <xf numFmtId="0" fontId="92" fillId="33" borderId="51" xfId="0" applyFont="1" applyFill="1" applyBorder="1" applyAlignment="1">
      <alignment/>
    </xf>
    <xf numFmtId="2" fontId="86" fillId="33" borderId="15" xfId="0" applyNumberFormat="1" applyFont="1" applyFill="1" applyBorder="1" applyAlignment="1">
      <alignment/>
    </xf>
    <xf numFmtId="2" fontId="86" fillId="33" borderId="11" xfId="0" applyNumberFormat="1" applyFont="1" applyFill="1" applyBorder="1" applyAlignment="1">
      <alignment/>
    </xf>
    <xf numFmtId="2" fontId="86" fillId="33" borderId="48" xfId="0" applyNumberFormat="1" applyFont="1" applyFill="1" applyBorder="1" applyAlignment="1">
      <alignment/>
    </xf>
    <xf numFmtId="2" fontId="86" fillId="33" borderId="17" xfId="0" applyNumberFormat="1" applyFont="1" applyFill="1" applyBorder="1" applyAlignment="1">
      <alignment/>
    </xf>
    <xf numFmtId="2" fontId="86" fillId="33" borderId="43" xfId="0" applyNumberFormat="1" applyFont="1" applyFill="1" applyBorder="1" applyAlignment="1">
      <alignment/>
    </xf>
    <xf numFmtId="2" fontId="86" fillId="33" borderId="47" xfId="0" applyNumberFormat="1" applyFont="1" applyFill="1" applyBorder="1" applyAlignment="1">
      <alignment/>
    </xf>
    <xf numFmtId="1" fontId="91" fillId="33" borderId="52" xfId="0" applyNumberFormat="1" applyFont="1" applyFill="1" applyBorder="1" applyAlignment="1">
      <alignment/>
    </xf>
    <xf numFmtId="0" fontId="92" fillId="33" borderId="37" xfId="0" applyFont="1" applyFill="1" applyBorder="1" applyAlignment="1">
      <alignment/>
    </xf>
    <xf numFmtId="1" fontId="84" fillId="33" borderId="48" xfId="0" applyNumberFormat="1" applyFont="1" applyFill="1" applyBorder="1" applyAlignment="1">
      <alignment/>
    </xf>
    <xf numFmtId="1" fontId="89" fillId="33" borderId="11" xfId="0" applyNumberFormat="1" applyFont="1" applyFill="1" applyBorder="1" applyAlignment="1">
      <alignment/>
    </xf>
    <xf numFmtId="1" fontId="89" fillId="33" borderId="48" xfId="0" applyNumberFormat="1" applyFont="1" applyFill="1" applyBorder="1" applyAlignment="1">
      <alignment/>
    </xf>
    <xf numFmtId="1" fontId="0" fillId="33" borderId="48" xfId="0" applyNumberFormat="1" applyFont="1" applyFill="1" applyBorder="1" applyAlignment="1">
      <alignment/>
    </xf>
    <xf numFmtId="0" fontId="86" fillId="33" borderId="15" xfId="0" applyFont="1" applyFill="1" applyBorder="1" applyAlignment="1">
      <alignment/>
    </xf>
    <xf numFmtId="0" fontId="86" fillId="33" borderId="48" xfId="0" applyFont="1" applyFill="1" applyBorder="1" applyAlignment="1">
      <alignment/>
    </xf>
    <xf numFmtId="1" fontId="86" fillId="33" borderId="17" xfId="0" applyNumberFormat="1" applyFont="1" applyFill="1" applyBorder="1" applyAlignment="1">
      <alignment/>
    </xf>
    <xf numFmtId="1" fontId="86" fillId="33" borderId="28" xfId="0" applyNumberFormat="1" applyFont="1" applyFill="1" applyBorder="1" applyAlignment="1">
      <alignment/>
    </xf>
    <xf numFmtId="1" fontId="89" fillId="33" borderId="43" xfId="0" applyNumberFormat="1" applyFont="1" applyFill="1" applyBorder="1" applyAlignment="1">
      <alignment/>
    </xf>
    <xf numFmtId="1" fontId="89" fillId="33" borderId="47" xfId="0" applyNumberFormat="1" applyFont="1" applyFill="1" applyBorder="1" applyAlignment="1">
      <alignment/>
    </xf>
    <xf numFmtId="0" fontId="0" fillId="0" borderId="11" xfId="0" applyBorder="1" applyAlignment="1">
      <alignment horizontal="center" vertical="center" wrapText="1"/>
    </xf>
    <xf numFmtId="0" fontId="0" fillId="0" borderId="48" xfId="0" applyNumberFormat="1" applyBorder="1" applyAlignment="1">
      <alignment/>
    </xf>
    <xf numFmtId="0" fontId="0" fillId="0" borderId="48" xfId="0" applyBorder="1" applyAlignment="1">
      <alignment horizontal="center" vertical="center" wrapText="1"/>
    </xf>
    <xf numFmtId="1" fontId="84" fillId="0" borderId="47" xfId="0" applyNumberFormat="1" applyFont="1" applyFill="1" applyBorder="1" applyAlignment="1">
      <alignment/>
    </xf>
    <xf numFmtId="1" fontId="0" fillId="0" borderId="43" xfId="0" applyNumberFormat="1" applyFill="1" applyBorder="1" applyAlignment="1">
      <alignment/>
    </xf>
    <xf numFmtId="0" fontId="0" fillId="0" borderId="0" xfId="0" applyAlignment="1">
      <alignment vertical="center" wrapText="1"/>
    </xf>
    <xf numFmtId="1" fontId="0" fillId="0" borderId="17" xfId="0" applyNumberFormat="1" applyFill="1" applyBorder="1" applyAlignment="1">
      <alignment/>
    </xf>
    <xf numFmtId="0" fontId="84" fillId="0" borderId="46" xfId="0" applyFont="1" applyBorder="1" applyAlignment="1">
      <alignment horizontal="center"/>
    </xf>
    <xf numFmtId="0" fontId="84" fillId="0" borderId="11" xfId="0" applyFont="1" applyBorder="1" applyAlignment="1">
      <alignment/>
    </xf>
    <xf numFmtId="0" fontId="84" fillId="35" borderId="14" xfId="0" applyFont="1" applyFill="1" applyBorder="1" applyAlignment="1">
      <alignment horizontal="center" vertical="center" wrapText="1"/>
    </xf>
    <xf numFmtId="1" fontId="84" fillId="35" borderId="14" xfId="0" applyNumberFormat="1" applyFont="1" applyFill="1" applyBorder="1" applyAlignment="1">
      <alignment horizontal="right"/>
    </xf>
    <xf numFmtId="0" fontId="84" fillId="35" borderId="25" xfId="0" applyFont="1" applyFill="1" applyBorder="1" applyAlignment="1">
      <alignment horizontal="center"/>
    </xf>
    <xf numFmtId="1" fontId="91" fillId="35" borderId="10" xfId="0" applyNumberFormat="1" applyFont="1" applyFill="1" applyBorder="1" applyAlignment="1">
      <alignment/>
    </xf>
    <xf numFmtId="1" fontId="91" fillId="35" borderId="14" xfId="0" applyNumberFormat="1" applyFont="1" applyFill="1" applyBorder="1" applyAlignment="1">
      <alignment horizontal="right"/>
    </xf>
    <xf numFmtId="1" fontId="91" fillId="35" borderId="10" xfId="0" applyNumberFormat="1" applyFont="1" applyFill="1" applyBorder="1" applyAlignment="1">
      <alignment horizontal="right"/>
    </xf>
    <xf numFmtId="0" fontId="91" fillId="35" borderId="15" xfId="0" applyFont="1" applyFill="1" applyBorder="1" applyAlignment="1" quotePrefix="1">
      <alignment horizontal="center"/>
    </xf>
    <xf numFmtId="1" fontId="91" fillId="35" borderId="15" xfId="0" applyNumberFormat="1" applyFont="1" applyFill="1" applyBorder="1" applyAlignment="1">
      <alignment/>
    </xf>
    <xf numFmtId="1" fontId="91" fillId="35" borderId="11" xfId="0" applyNumberFormat="1" applyFont="1" applyFill="1" applyBorder="1" applyAlignment="1">
      <alignment/>
    </xf>
    <xf numFmtId="1" fontId="91" fillId="35" borderId="19" xfId="0" applyNumberFormat="1" applyFont="1" applyFill="1" applyBorder="1" applyAlignment="1">
      <alignment/>
    </xf>
    <xf numFmtId="1" fontId="91" fillId="35" borderId="48" xfId="0" applyNumberFormat="1" applyFont="1" applyFill="1" applyBorder="1" applyAlignment="1">
      <alignment/>
    </xf>
    <xf numFmtId="0" fontId="0" fillId="0" borderId="10" xfId="0" applyNumberFormat="1" applyFont="1" applyBorder="1" applyAlignment="1">
      <alignment/>
    </xf>
    <xf numFmtId="0" fontId="0" fillId="0" borderId="0" xfId="0" applyNumberFormat="1" applyFont="1" applyFill="1" applyBorder="1" applyAlignment="1">
      <alignment horizontal="right"/>
    </xf>
    <xf numFmtId="1" fontId="0" fillId="0" borderId="14" xfId="0" applyNumberFormat="1" applyFont="1" applyBorder="1" applyAlignment="1">
      <alignment/>
    </xf>
    <xf numFmtId="0" fontId="0" fillId="0" borderId="14" xfId="0" applyNumberFormat="1" applyFont="1" applyBorder="1" applyAlignment="1">
      <alignment horizontal="right"/>
    </xf>
    <xf numFmtId="1" fontId="0" fillId="0" borderId="14" xfId="0" applyNumberFormat="1" applyFont="1" applyFill="1" applyBorder="1" applyAlignment="1">
      <alignment/>
    </xf>
    <xf numFmtId="0" fontId="91" fillId="35" borderId="26" xfId="0" applyFont="1" applyFill="1" applyBorder="1" applyAlignment="1" quotePrefix="1">
      <alignment horizontal="center"/>
    </xf>
    <xf numFmtId="0" fontId="91" fillId="35" borderId="27" xfId="0" applyFont="1" applyFill="1" applyBorder="1" applyAlignment="1">
      <alignment horizontal="center"/>
    </xf>
    <xf numFmtId="0" fontId="91" fillId="0" borderId="0" xfId="0" applyFont="1" applyAlignment="1">
      <alignment horizontal="center"/>
    </xf>
    <xf numFmtId="0" fontId="91" fillId="0" borderId="0" xfId="0" applyFont="1" applyFill="1" applyAlignment="1">
      <alignment horizontal="center"/>
    </xf>
    <xf numFmtId="0" fontId="91" fillId="0" borderId="0" xfId="0" applyFont="1" applyFill="1" applyBorder="1" applyAlignment="1">
      <alignment horizontal="center"/>
    </xf>
    <xf numFmtId="0" fontId="0" fillId="0" borderId="15" xfId="0" applyBorder="1" applyAlignment="1" quotePrefix="1">
      <alignment horizontal="right"/>
    </xf>
    <xf numFmtId="0" fontId="0" fillId="0" borderId="17" xfId="0" applyBorder="1" applyAlignment="1" quotePrefix="1">
      <alignment horizontal="right"/>
    </xf>
    <xf numFmtId="0" fontId="0" fillId="33" borderId="13" xfId="0" applyNumberFormat="1" applyFill="1" applyBorder="1" applyAlignment="1">
      <alignment/>
    </xf>
    <xf numFmtId="1" fontId="84" fillId="35" borderId="48" xfId="0" applyNumberFormat="1" applyFont="1" applyFill="1" applyBorder="1" applyAlignment="1">
      <alignment/>
    </xf>
    <xf numFmtId="1" fontId="91" fillId="0" borderId="0" xfId="0" applyNumberFormat="1" applyFont="1" applyFill="1" applyAlignment="1">
      <alignment/>
    </xf>
    <xf numFmtId="1" fontId="91" fillId="35" borderId="24" xfId="0" applyNumberFormat="1" applyFont="1" applyFill="1" applyBorder="1" applyAlignment="1">
      <alignment/>
    </xf>
    <xf numFmtId="0" fontId="91" fillId="35" borderId="17" xfId="0" applyFont="1" applyFill="1" applyBorder="1" applyAlignment="1" quotePrefix="1">
      <alignment horizontal="center"/>
    </xf>
    <xf numFmtId="0" fontId="91" fillId="35" borderId="41" xfId="0" applyFont="1" applyFill="1" applyBorder="1" applyAlignment="1">
      <alignment horizontal="center"/>
    </xf>
    <xf numFmtId="1" fontId="0" fillId="0" borderId="15" xfId="0" applyNumberFormat="1" applyFont="1" applyFill="1" applyBorder="1" applyAlignment="1">
      <alignment/>
    </xf>
    <xf numFmtId="0" fontId="0" fillId="0" borderId="53" xfId="0" applyNumberFormat="1" applyBorder="1" applyAlignment="1">
      <alignment horizontal="right" wrapText="1"/>
    </xf>
    <xf numFmtId="0" fontId="0" fillId="0" borderId="54" xfId="0" applyBorder="1" applyAlignment="1">
      <alignment/>
    </xf>
    <xf numFmtId="0" fontId="0" fillId="0" borderId="55" xfId="0" applyBorder="1" applyAlignment="1">
      <alignment/>
    </xf>
    <xf numFmtId="0" fontId="0" fillId="0" borderId="18" xfId="0" applyBorder="1" applyAlignment="1">
      <alignment horizontal="right"/>
    </xf>
    <xf numFmtId="1" fontId="0" fillId="0" borderId="56" xfId="0" applyNumberFormat="1" applyBorder="1" applyAlignment="1">
      <alignment/>
    </xf>
    <xf numFmtId="0" fontId="0" fillId="0" borderId="18" xfId="0" applyFill="1" applyBorder="1" applyAlignment="1">
      <alignment/>
    </xf>
    <xf numFmtId="0" fontId="0" fillId="0" borderId="18" xfId="0" applyFont="1" applyFill="1" applyBorder="1" applyAlignment="1">
      <alignment/>
    </xf>
    <xf numFmtId="0" fontId="0" fillId="0" borderId="34" xfId="0" applyFont="1" applyFill="1" applyBorder="1" applyAlignment="1">
      <alignment/>
    </xf>
    <xf numFmtId="1" fontId="0" fillId="0" borderId="35" xfId="0" applyNumberFormat="1" applyBorder="1" applyAlignment="1">
      <alignment/>
    </xf>
    <xf numFmtId="0" fontId="0" fillId="0" borderId="36" xfId="0" applyFill="1" applyBorder="1" applyAlignment="1">
      <alignment/>
    </xf>
    <xf numFmtId="10" fontId="0" fillId="0" borderId="10" xfId="59" applyNumberFormat="1" applyFont="1" applyFill="1" applyBorder="1" applyAlignment="1">
      <alignment/>
    </xf>
    <xf numFmtId="0" fontId="0" fillId="0" borderId="0" xfId="0" applyFont="1" applyBorder="1" applyAlignment="1">
      <alignment/>
    </xf>
    <xf numFmtId="0" fontId="0" fillId="0" borderId="56" xfId="0" applyBorder="1" applyAlignment="1">
      <alignment/>
    </xf>
    <xf numFmtId="0" fontId="0" fillId="0" borderId="56" xfId="0" applyFont="1" applyFill="1" applyBorder="1" applyAlignment="1">
      <alignment/>
    </xf>
    <xf numFmtId="0" fontId="97" fillId="0" borderId="0" xfId="0" applyFont="1" applyBorder="1" applyAlignment="1">
      <alignment/>
    </xf>
    <xf numFmtId="0" fontId="97" fillId="0" borderId="0" xfId="0" applyFont="1" applyBorder="1" applyAlignment="1">
      <alignment horizontal="left"/>
    </xf>
    <xf numFmtId="0" fontId="98" fillId="0" borderId="0" xfId="0" applyFont="1" applyBorder="1" applyAlignment="1">
      <alignment/>
    </xf>
    <xf numFmtId="0" fontId="98" fillId="0" borderId="0" xfId="0" applyFont="1" applyBorder="1" applyAlignment="1">
      <alignment horizontal="center"/>
    </xf>
    <xf numFmtId="0" fontId="91" fillId="0" borderId="56" xfId="0" applyFont="1" applyBorder="1" applyAlignment="1">
      <alignment/>
    </xf>
    <xf numFmtId="0" fontId="0" fillId="0" borderId="56" xfId="0" applyFont="1" applyBorder="1" applyAlignment="1">
      <alignment/>
    </xf>
    <xf numFmtId="0" fontId="86" fillId="0" borderId="56" xfId="0" applyFont="1" applyBorder="1" applyAlignment="1">
      <alignment/>
    </xf>
    <xf numFmtId="0" fontId="84" fillId="0" borderId="56" xfId="0" applyFont="1" applyBorder="1" applyAlignment="1">
      <alignment/>
    </xf>
    <xf numFmtId="0" fontId="91" fillId="0" borderId="11" xfId="0" applyFont="1" applyBorder="1" applyAlignment="1">
      <alignment/>
    </xf>
    <xf numFmtId="0" fontId="89" fillId="0" borderId="11" xfId="0" applyFont="1" applyBorder="1" applyAlignment="1">
      <alignment/>
    </xf>
    <xf numFmtId="0" fontId="86" fillId="0" borderId="11" xfId="0" applyFont="1" applyBorder="1" applyAlignment="1">
      <alignment/>
    </xf>
    <xf numFmtId="0" fontId="0" fillId="0" borderId="43" xfId="0" applyBorder="1" applyAlignment="1">
      <alignment/>
    </xf>
    <xf numFmtId="0" fontId="0" fillId="0" borderId="48" xfId="0" applyBorder="1" applyAlignment="1">
      <alignment/>
    </xf>
    <xf numFmtId="0" fontId="91" fillId="0" borderId="48" xfId="0" applyFont="1" applyBorder="1" applyAlignment="1">
      <alignment/>
    </xf>
    <xf numFmtId="0" fontId="89" fillId="0" borderId="48" xfId="0" applyFont="1" applyBorder="1" applyAlignment="1">
      <alignment/>
    </xf>
    <xf numFmtId="0" fontId="86" fillId="0" borderId="48" xfId="0" applyFont="1" applyBorder="1" applyAlignment="1">
      <alignment/>
    </xf>
    <xf numFmtId="0" fontId="0" fillId="0" borderId="47" xfId="0" applyBorder="1" applyAlignment="1">
      <alignment/>
    </xf>
    <xf numFmtId="0" fontId="91" fillId="33" borderId="37" xfId="0" applyFont="1" applyFill="1" applyBorder="1" applyAlignment="1">
      <alignment horizontal="center"/>
    </xf>
    <xf numFmtId="0" fontId="0" fillId="33" borderId="19" xfId="0" applyFill="1" applyBorder="1" applyAlignment="1">
      <alignment horizontal="center"/>
    </xf>
    <xf numFmtId="0" fontId="91" fillId="33" borderId="19" xfId="0" applyNumberFormat="1" applyFont="1" applyFill="1" applyBorder="1" applyAlignment="1">
      <alignment/>
    </xf>
    <xf numFmtId="0" fontId="89" fillId="33" borderId="19" xfId="0" applyNumberFormat="1" applyFont="1" applyFill="1" applyBorder="1" applyAlignment="1">
      <alignment/>
    </xf>
    <xf numFmtId="0" fontId="86" fillId="33" borderId="19" xfId="0" applyNumberFormat="1" applyFont="1" applyFill="1" applyBorder="1" applyAlignment="1">
      <alignment/>
    </xf>
    <xf numFmtId="0" fontId="89" fillId="33" borderId="19" xfId="0" applyFont="1" applyFill="1" applyBorder="1" applyAlignment="1">
      <alignment/>
    </xf>
    <xf numFmtId="0" fontId="91" fillId="33" borderId="19" xfId="0" applyFont="1" applyFill="1" applyBorder="1" applyAlignment="1">
      <alignment horizontal="center"/>
    </xf>
    <xf numFmtId="0" fontId="0" fillId="33" borderId="33" xfId="0" applyFill="1" applyBorder="1" applyAlignment="1">
      <alignment horizontal="center"/>
    </xf>
    <xf numFmtId="2" fontId="0" fillId="0" borderId="15" xfId="0" applyNumberFormat="1" applyFill="1" applyBorder="1" applyAlignment="1">
      <alignment/>
    </xf>
    <xf numFmtId="0" fontId="84" fillId="0" borderId="15" xfId="0" applyFont="1" applyBorder="1" applyAlignment="1">
      <alignment/>
    </xf>
    <xf numFmtId="2" fontId="86" fillId="0" borderId="15" xfId="0" applyNumberFormat="1" applyFont="1" applyFill="1" applyBorder="1" applyAlignment="1">
      <alignment/>
    </xf>
    <xf numFmtId="2" fontId="86" fillId="0" borderId="17" xfId="0" applyNumberFormat="1" applyFont="1" applyFill="1" applyBorder="1" applyAlignment="1">
      <alignment/>
    </xf>
    <xf numFmtId="2" fontId="86" fillId="0" borderId="28" xfId="0" applyNumberFormat="1" applyFont="1" applyFill="1" applyBorder="1" applyAlignment="1">
      <alignment/>
    </xf>
    <xf numFmtId="1" fontId="92" fillId="35" borderId="41" xfId="0" applyNumberFormat="1" applyFont="1" applyFill="1" applyBorder="1" applyAlignment="1">
      <alignment/>
    </xf>
    <xf numFmtId="1" fontId="92" fillId="35" borderId="49" xfId="0" applyNumberFormat="1" applyFont="1" applyFill="1" applyBorder="1" applyAlignment="1">
      <alignment/>
    </xf>
    <xf numFmtId="0" fontId="92" fillId="35" borderId="27" xfId="0" applyFont="1" applyFill="1" applyBorder="1" applyAlignment="1">
      <alignment/>
    </xf>
    <xf numFmtId="0" fontId="0" fillId="33" borderId="15" xfId="0" applyFill="1" applyBorder="1" applyAlignment="1">
      <alignment/>
    </xf>
    <xf numFmtId="9" fontId="0" fillId="35" borderId="10" xfId="0" applyNumberFormat="1" applyFont="1" applyFill="1" applyBorder="1" applyAlignment="1">
      <alignment/>
    </xf>
    <xf numFmtId="9" fontId="0" fillId="35" borderId="14" xfId="0" applyNumberFormat="1" applyFont="1" applyFill="1" applyBorder="1" applyAlignment="1">
      <alignment/>
    </xf>
    <xf numFmtId="1" fontId="89" fillId="0" borderId="10" xfId="0" applyNumberFormat="1" applyFont="1" applyBorder="1" applyAlignment="1">
      <alignment/>
    </xf>
    <xf numFmtId="0" fontId="89" fillId="0" borderId="0" xfId="0" applyFont="1" applyFill="1" applyBorder="1" applyAlignment="1">
      <alignment/>
    </xf>
    <xf numFmtId="1" fontId="84" fillId="35" borderId="24" xfId="0" applyNumberFormat="1" applyFont="1" applyFill="1" applyBorder="1" applyAlignment="1">
      <alignment/>
    </xf>
    <xf numFmtId="0" fontId="89" fillId="0" borderId="15" xfId="0" applyFont="1" applyBorder="1" applyAlignment="1">
      <alignment horizontal="center"/>
    </xf>
    <xf numFmtId="1" fontId="89" fillId="0" borderId="14" xfId="0" applyNumberFormat="1" applyFont="1" applyBorder="1" applyAlignment="1">
      <alignment/>
    </xf>
    <xf numFmtId="9" fontId="0" fillId="35" borderId="13" xfId="0" applyNumberFormat="1" applyFont="1" applyFill="1" applyBorder="1" applyAlignment="1">
      <alignment/>
    </xf>
    <xf numFmtId="9" fontId="0" fillId="35" borderId="25" xfId="0" applyNumberFormat="1" applyFont="1" applyFill="1" applyBorder="1" applyAlignment="1">
      <alignment/>
    </xf>
    <xf numFmtId="1" fontId="91" fillId="35" borderId="22" xfId="0" applyNumberFormat="1" applyFont="1" applyFill="1" applyBorder="1" applyAlignment="1">
      <alignment/>
    </xf>
    <xf numFmtId="1" fontId="91" fillId="35" borderId="57" xfId="0" applyNumberFormat="1" applyFont="1" applyFill="1" applyBorder="1" applyAlignment="1">
      <alignment horizontal="right"/>
    </xf>
    <xf numFmtId="1" fontId="91" fillId="35" borderId="29" xfId="0" applyNumberFormat="1" applyFont="1" applyFill="1" applyBorder="1" applyAlignment="1">
      <alignment/>
    </xf>
    <xf numFmtId="1" fontId="0" fillId="0" borderId="14" xfId="0" applyNumberFormat="1" applyBorder="1" applyAlignment="1">
      <alignment/>
    </xf>
    <xf numFmtId="1" fontId="91" fillId="35" borderId="17" xfId="0" applyNumberFormat="1" applyFont="1" applyFill="1" applyBorder="1" applyAlignment="1">
      <alignment/>
    </xf>
    <xf numFmtId="0" fontId="84" fillId="0" borderId="58" xfId="0" applyFont="1" applyBorder="1" applyAlignment="1">
      <alignment horizontal="center" vertical="center"/>
    </xf>
    <xf numFmtId="1" fontId="84" fillId="33" borderId="44" xfId="0" applyNumberFormat="1" applyFont="1" applyFill="1" applyBorder="1" applyAlignment="1">
      <alignment/>
    </xf>
    <xf numFmtId="1" fontId="84" fillId="33" borderId="59" xfId="0" applyNumberFormat="1" applyFont="1" applyFill="1" applyBorder="1" applyAlignment="1">
      <alignment/>
    </xf>
    <xf numFmtId="1" fontId="89" fillId="33" borderId="59" xfId="0" applyNumberFormat="1" applyFont="1" applyFill="1" applyBorder="1" applyAlignment="1">
      <alignment/>
    </xf>
    <xf numFmtId="0" fontId="86" fillId="33" borderId="59" xfId="0" applyFont="1" applyFill="1" applyBorder="1" applyAlignment="1">
      <alignment/>
    </xf>
    <xf numFmtId="2" fontId="86" fillId="33" borderId="59" xfId="0" applyNumberFormat="1" applyFont="1" applyFill="1" applyBorder="1" applyAlignment="1">
      <alignment/>
    </xf>
    <xf numFmtId="2" fontId="86" fillId="33" borderId="60" xfId="0" applyNumberFormat="1" applyFont="1" applyFill="1" applyBorder="1" applyAlignment="1">
      <alignment/>
    </xf>
    <xf numFmtId="0" fontId="92" fillId="33" borderId="52" xfId="0" applyFont="1" applyFill="1" applyBorder="1" applyAlignment="1">
      <alignment/>
    </xf>
    <xf numFmtId="0" fontId="0" fillId="33" borderId="52" xfId="0" applyFill="1" applyBorder="1" applyAlignment="1">
      <alignment/>
    </xf>
    <xf numFmtId="0" fontId="0" fillId="33" borderId="48" xfId="0" applyFill="1" applyBorder="1" applyAlignment="1">
      <alignment/>
    </xf>
    <xf numFmtId="0" fontId="0" fillId="33" borderId="48" xfId="0" applyNumberFormat="1" applyFill="1" applyBorder="1" applyAlignment="1">
      <alignment/>
    </xf>
    <xf numFmtId="0" fontId="86" fillId="33" borderId="47" xfId="0" applyFont="1" applyFill="1" applyBorder="1" applyAlignment="1">
      <alignment/>
    </xf>
    <xf numFmtId="0" fontId="84" fillId="33" borderId="47" xfId="0" applyFont="1" applyFill="1" applyBorder="1" applyAlignment="1">
      <alignment/>
    </xf>
    <xf numFmtId="0" fontId="84" fillId="35" borderId="43" xfId="0" applyFont="1" applyFill="1" applyBorder="1" applyAlignment="1">
      <alignment horizontal="center" vertical="center" wrapText="1"/>
    </xf>
    <xf numFmtId="0" fontId="86" fillId="33" borderId="43" xfId="0" applyFont="1" applyFill="1" applyBorder="1" applyAlignment="1">
      <alignment/>
    </xf>
    <xf numFmtId="1" fontId="86" fillId="33" borderId="48" xfId="0" applyNumberFormat="1" applyFont="1" applyFill="1" applyBorder="1" applyAlignment="1">
      <alignment/>
    </xf>
    <xf numFmtId="0" fontId="0" fillId="33" borderId="33" xfId="0" applyFill="1" applyBorder="1" applyAlignment="1">
      <alignment/>
    </xf>
    <xf numFmtId="0" fontId="94" fillId="7" borderId="30" xfId="0" applyFont="1" applyFill="1" applyBorder="1" applyAlignment="1">
      <alignment/>
    </xf>
    <xf numFmtId="0" fontId="0" fillId="33" borderId="37" xfId="0" applyFill="1" applyBorder="1" applyAlignment="1">
      <alignment/>
    </xf>
    <xf numFmtId="1" fontId="0" fillId="33" borderId="48" xfId="0" applyNumberFormat="1" applyFill="1" applyBorder="1" applyAlignment="1">
      <alignment/>
    </xf>
    <xf numFmtId="1" fontId="0" fillId="33" borderId="47" xfId="0" applyNumberFormat="1" applyFill="1" applyBorder="1" applyAlignment="1">
      <alignment/>
    </xf>
    <xf numFmtId="0" fontId="94" fillId="7" borderId="52" xfId="0" applyFont="1" applyFill="1" applyBorder="1" applyAlignment="1">
      <alignment/>
    </xf>
    <xf numFmtId="0" fontId="94" fillId="7" borderId="23" xfId="0" applyFont="1" applyFill="1" applyBorder="1" applyAlignment="1">
      <alignment/>
    </xf>
    <xf numFmtId="0" fontId="94" fillId="7" borderId="40" xfId="0" applyFont="1" applyFill="1" applyBorder="1" applyAlignment="1">
      <alignment/>
    </xf>
    <xf numFmtId="0" fontId="94" fillId="7" borderId="61" xfId="0" applyFont="1" applyFill="1" applyBorder="1" applyAlignment="1">
      <alignment/>
    </xf>
    <xf numFmtId="0" fontId="0" fillId="33" borderId="16" xfId="0" applyFill="1" applyBorder="1" applyAlignment="1">
      <alignment/>
    </xf>
    <xf numFmtId="1" fontId="84" fillId="0" borderId="43" xfId="0" applyNumberFormat="1" applyFont="1" applyBorder="1" applyAlignment="1">
      <alignment/>
    </xf>
    <xf numFmtId="1" fontId="0" fillId="0" borderId="48" xfId="0" applyNumberFormat="1" applyBorder="1" applyAlignment="1">
      <alignment/>
    </xf>
    <xf numFmtId="1" fontId="84" fillId="0" borderId="48" xfId="0" applyNumberFormat="1" applyFont="1" applyBorder="1" applyAlignment="1">
      <alignment/>
    </xf>
    <xf numFmtId="2" fontId="84" fillId="0" borderId="11" xfId="0" applyNumberFormat="1" applyFont="1" applyFill="1" applyBorder="1" applyAlignment="1">
      <alignment/>
    </xf>
    <xf numFmtId="2" fontId="86" fillId="0" borderId="11" xfId="0" applyNumberFormat="1" applyFont="1" applyFill="1" applyBorder="1" applyAlignment="1">
      <alignment/>
    </xf>
    <xf numFmtId="2" fontId="86" fillId="0" borderId="43" xfId="0" applyNumberFormat="1" applyFont="1" applyFill="1" applyBorder="1" applyAlignment="1">
      <alignment/>
    </xf>
    <xf numFmtId="1" fontId="89" fillId="0" borderId="57" xfId="0" applyNumberFormat="1" applyFont="1" applyBorder="1" applyAlignment="1">
      <alignment/>
    </xf>
    <xf numFmtId="1" fontId="84" fillId="0" borderId="57" xfId="0" applyNumberFormat="1" applyFont="1" applyBorder="1" applyAlignment="1">
      <alignment/>
    </xf>
    <xf numFmtId="1" fontId="89" fillId="0" borderId="43" xfId="0" applyNumberFormat="1" applyFont="1" applyBorder="1" applyAlignment="1">
      <alignment/>
    </xf>
    <xf numFmtId="0" fontId="86" fillId="33" borderId="62" xfId="0" applyFont="1" applyFill="1" applyBorder="1" applyAlignment="1">
      <alignment/>
    </xf>
    <xf numFmtId="0" fontId="0" fillId="33" borderId="62" xfId="0" applyFill="1" applyBorder="1" applyAlignment="1">
      <alignment/>
    </xf>
    <xf numFmtId="1" fontId="91" fillId="35" borderId="21" xfId="0" applyNumberFormat="1" applyFont="1" applyFill="1" applyBorder="1" applyAlignment="1">
      <alignment/>
    </xf>
    <xf numFmtId="2" fontId="0" fillId="0" borderId="48" xfId="0" applyNumberFormat="1" applyFill="1" applyBorder="1" applyAlignment="1">
      <alignment/>
    </xf>
    <xf numFmtId="2" fontId="84" fillId="0" borderId="48" xfId="0" applyNumberFormat="1" applyFont="1" applyFill="1" applyBorder="1" applyAlignment="1">
      <alignment/>
    </xf>
    <xf numFmtId="2" fontId="86" fillId="0" borderId="48" xfId="0" applyNumberFormat="1" applyFont="1" applyFill="1" applyBorder="1" applyAlignment="1">
      <alignment/>
    </xf>
    <xf numFmtId="2" fontId="86" fillId="0" borderId="47" xfId="0" applyNumberFormat="1" applyFont="1" applyFill="1" applyBorder="1" applyAlignment="1">
      <alignment/>
    </xf>
    <xf numFmtId="1" fontId="89" fillId="0" borderId="63" xfId="0" applyNumberFormat="1" applyFont="1" applyBorder="1" applyAlignment="1">
      <alignment/>
    </xf>
    <xf numFmtId="1" fontId="89" fillId="0" borderId="47" xfId="0" applyNumberFormat="1" applyFont="1" applyBorder="1" applyAlignment="1">
      <alignment/>
    </xf>
    <xf numFmtId="1" fontId="0" fillId="0" borderId="48" xfId="0" applyNumberFormat="1" applyFont="1" applyFill="1" applyBorder="1" applyAlignment="1">
      <alignment/>
    </xf>
    <xf numFmtId="0" fontId="91" fillId="35" borderId="30" xfId="0" applyFont="1" applyFill="1" applyBorder="1" applyAlignment="1">
      <alignment/>
    </xf>
    <xf numFmtId="0" fontId="91" fillId="35" borderId="31" xfId="0" applyFont="1" applyFill="1" applyBorder="1" applyAlignment="1">
      <alignment/>
    </xf>
    <xf numFmtId="0" fontId="91" fillId="35" borderId="52" xfId="0" applyFont="1" applyFill="1" applyBorder="1" applyAlignment="1">
      <alignment/>
    </xf>
    <xf numFmtId="0" fontId="0" fillId="35" borderId="24" xfId="0" applyFill="1" applyBorder="1" applyAlignment="1">
      <alignment/>
    </xf>
    <xf numFmtId="0" fontId="91" fillId="35" borderId="24" xfId="0" applyFont="1" applyFill="1" applyBorder="1" applyAlignment="1">
      <alignment/>
    </xf>
    <xf numFmtId="0" fontId="89" fillId="35" borderId="24" xfId="0" applyFont="1" applyFill="1" applyBorder="1" applyAlignment="1">
      <alignment/>
    </xf>
    <xf numFmtId="0" fontId="86" fillId="35" borderId="24" xfId="0" applyFont="1" applyFill="1" applyBorder="1" applyAlignment="1">
      <alignment/>
    </xf>
    <xf numFmtId="0" fontId="0" fillId="35" borderId="28" xfId="0" applyFill="1" applyBorder="1" applyAlignment="1">
      <alignment/>
    </xf>
    <xf numFmtId="1" fontId="92" fillId="35" borderId="30" xfId="0" applyNumberFormat="1" applyFont="1" applyFill="1" applyBorder="1" applyAlignment="1">
      <alignment/>
    </xf>
    <xf numFmtId="1" fontId="0" fillId="35" borderId="24" xfId="0" applyNumberFormat="1" applyFont="1" applyFill="1" applyBorder="1" applyAlignment="1">
      <alignment/>
    </xf>
    <xf numFmtId="1" fontId="0" fillId="35" borderId="28" xfId="0" applyNumberFormat="1" applyFont="1" applyFill="1" applyBorder="1" applyAlignment="1">
      <alignment/>
    </xf>
    <xf numFmtId="2" fontId="0" fillId="35" borderId="24" xfId="0" applyNumberFormat="1" applyFill="1" applyBorder="1" applyAlignment="1">
      <alignment/>
    </xf>
    <xf numFmtId="0" fontId="84" fillId="35" borderId="24" xfId="0" applyFont="1" applyFill="1" applyBorder="1" applyAlignment="1">
      <alignment/>
    </xf>
    <xf numFmtId="2" fontId="84" fillId="35" borderId="24" xfId="0" applyNumberFormat="1" applyFont="1" applyFill="1" applyBorder="1" applyAlignment="1">
      <alignment/>
    </xf>
    <xf numFmtId="2" fontId="86" fillId="35" borderId="24" xfId="0" applyNumberFormat="1" applyFont="1" applyFill="1" applyBorder="1" applyAlignment="1">
      <alignment/>
    </xf>
    <xf numFmtId="2" fontId="86" fillId="35" borderId="28" xfId="0" applyNumberFormat="1" applyFont="1" applyFill="1" applyBorder="1" applyAlignment="1">
      <alignment/>
    </xf>
    <xf numFmtId="1" fontId="84" fillId="35" borderId="28" xfId="0" applyNumberFormat="1" applyFont="1" applyFill="1" applyBorder="1" applyAlignment="1">
      <alignment/>
    </xf>
    <xf numFmtId="0" fontId="0" fillId="0" borderId="14" xfId="0" applyFill="1" applyBorder="1" applyAlignment="1">
      <alignment/>
    </xf>
    <xf numFmtId="0" fontId="86" fillId="0" borderId="15" xfId="0" applyFont="1" applyBorder="1" applyAlignment="1" quotePrefix="1">
      <alignment/>
    </xf>
    <xf numFmtId="1" fontId="0" fillId="35" borderId="19" xfId="0" applyNumberFormat="1" applyFont="1" applyFill="1" applyBorder="1" applyAlignment="1">
      <alignment/>
    </xf>
    <xf numFmtId="172" fontId="0" fillId="0" borderId="0" xfId="0" applyNumberFormat="1" applyFill="1" applyBorder="1" applyAlignment="1">
      <alignment/>
    </xf>
    <xf numFmtId="172" fontId="84" fillId="35" borderId="0" xfId="0" applyNumberFormat="1" applyFont="1" applyFill="1" applyBorder="1" applyAlignment="1">
      <alignment/>
    </xf>
    <xf numFmtId="2" fontId="86" fillId="33" borderId="0" xfId="0" applyNumberFormat="1" applyFont="1" applyFill="1" applyBorder="1" applyAlignment="1">
      <alignment/>
    </xf>
    <xf numFmtId="0" fontId="86" fillId="33" borderId="0" xfId="0" applyFont="1" applyFill="1" applyBorder="1" applyAlignment="1">
      <alignment/>
    </xf>
    <xf numFmtId="0" fontId="0" fillId="0" borderId="11" xfId="0" applyNumberFormat="1" applyBorder="1" applyAlignment="1">
      <alignment/>
    </xf>
    <xf numFmtId="0" fontId="0" fillId="0" borderId="43" xfId="0" applyNumberFormat="1" applyFill="1" applyBorder="1" applyAlignment="1">
      <alignment/>
    </xf>
    <xf numFmtId="0" fontId="0" fillId="0" borderId="0" xfId="0" applyBorder="1" applyAlignment="1">
      <alignment vertical="center" wrapText="1"/>
    </xf>
    <xf numFmtId="173" fontId="0" fillId="0" borderId="0" xfId="0" applyNumberFormat="1" applyBorder="1" applyAlignment="1">
      <alignment/>
    </xf>
    <xf numFmtId="1" fontId="0" fillId="0" borderId="0" xfId="0" applyNumberFormat="1" applyFont="1" applyBorder="1" applyAlignment="1">
      <alignment/>
    </xf>
    <xf numFmtId="0" fontId="91" fillId="35" borderId="10" xfId="0" applyFont="1" applyFill="1" applyBorder="1" applyAlignment="1">
      <alignment horizontal="center"/>
    </xf>
    <xf numFmtId="0" fontId="91" fillId="35" borderId="10" xfId="0" applyFont="1" applyFill="1" applyBorder="1" applyAlignment="1">
      <alignment/>
    </xf>
    <xf numFmtId="0" fontId="84" fillId="0" borderId="10" xfId="0" applyFont="1" applyFill="1" applyBorder="1" applyAlignment="1">
      <alignment horizontal="center"/>
    </xf>
    <xf numFmtId="0" fontId="0" fillId="0" borderId="10" xfId="0" applyBorder="1" applyAlignment="1">
      <alignment horizontal="right"/>
    </xf>
    <xf numFmtId="2" fontId="84" fillId="33" borderId="22" xfId="0" applyNumberFormat="1" applyFont="1" applyFill="1" applyBorder="1" applyAlignment="1">
      <alignment/>
    </xf>
    <xf numFmtId="2" fontId="84" fillId="33" borderId="15" xfId="0" applyNumberFormat="1" applyFont="1" applyFill="1" applyBorder="1" applyAlignment="1">
      <alignment/>
    </xf>
    <xf numFmtId="2" fontId="84" fillId="33" borderId="24" xfId="0" applyNumberFormat="1" applyFont="1" applyFill="1" applyBorder="1" applyAlignment="1">
      <alignment/>
    </xf>
    <xf numFmtId="2" fontId="84" fillId="33" borderId="11" xfId="0" applyNumberFormat="1" applyFont="1" applyFill="1" applyBorder="1" applyAlignment="1">
      <alignment/>
    </xf>
    <xf numFmtId="2" fontId="84" fillId="33" borderId="48" xfId="0" applyNumberFormat="1" applyFont="1" applyFill="1" applyBorder="1" applyAlignment="1">
      <alignment/>
    </xf>
    <xf numFmtId="0" fontId="0" fillId="0" borderId="10" xfId="0" applyFill="1" applyBorder="1" applyAlignment="1">
      <alignment horizontal="right"/>
    </xf>
    <xf numFmtId="0" fontId="0" fillId="0" borderId="15" xfId="0" applyBorder="1" applyAlignment="1" quotePrefix="1">
      <alignment horizontal="center"/>
    </xf>
    <xf numFmtId="1" fontId="91" fillId="0" borderId="10" xfId="0" applyNumberFormat="1" applyFont="1" applyFill="1" applyBorder="1" applyAlignment="1">
      <alignment/>
    </xf>
    <xf numFmtId="0" fontId="0" fillId="0" borderId="24" xfId="0" applyFill="1" applyBorder="1" applyAlignment="1">
      <alignment horizontal="right"/>
    </xf>
    <xf numFmtId="0" fontId="92" fillId="0" borderId="0" xfId="0" applyFont="1" applyFill="1" applyAlignment="1">
      <alignment/>
    </xf>
    <xf numFmtId="0" fontId="0" fillId="35" borderId="10" xfId="0" applyFont="1" applyFill="1" applyBorder="1" applyAlignment="1">
      <alignment/>
    </xf>
    <xf numFmtId="0" fontId="84" fillId="0" borderId="24" xfId="0" applyFont="1" applyFill="1" applyBorder="1" applyAlignment="1">
      <alignment horizontal="left"/>
    </xf>
    <xf numFmtId="2" fontId="91" fillId="33" borderId="22" xfId="0" applyNumberFormat="1" applyFont="1" applyFill="1" applyBorder="1" applyAlignment="1">
      <alignment/>
    </xf>
    <xf numFmtId="1" fontId="92" fillId="0" borderId="10" xfId="0" applyNumberFormat="1" applyFont="1" applyBorder="1" applyAlignment="1">
      <alignment/>
    </xf>
    <xf numFmtId="174" fontId="0" fillId="0" borderId="10" xfId="0" applyNumberFormat="1" applyFill="1" applyBorder="1" applyAlignment="1">
      <alignment/>
    </xf>
    <xf numFmtId="1" fontId="91" fillId="33" borderId="10" xfId="0" applyNumberFormat="1" applyFont="1" applyFill="1" applyBorder="1" applyAlignment="1">
      <alignment/>
    </xf>
    <xf numFmtId="1" fontId="91" fillId="35" borderId="14" xfId="0" applyNumberFormat="1" applyFont="1" applyFill="1" applyBorder="1" applyAlignment="1">
      <alignment/>
    </xf>
    <xf numFmtId="1" fontId="91" fillId="33" borderId="15" xfId="0" applyNumberFormat="1" applyFont="1" applyFill="1" applyBorder="1" applyAlignment="1">
      <alignment/>
    </xf>
    <xf numFmtId="1" fontId="91" fillId="33" borderId="24" xfId="0" applyNumberFormat="1" applyFont="1" applyFill="1" applyBorder="1" applyAlignment="1">
      <alignment/>
    </xf>
    <xf numFmtId="1" fontId="91" fillId="33" borderId="11" xfId="0" applyNumberFormat="1" applyFont="1" applyFill="1" applyBorder="1" applyAlignment="1">
      <alignment/>
    </xf>
    <xf numFmtId="1" fontId="91" fillId="33" borderId="48" xfId="0" applyNumberFormat="1" applyFont="1" applyFill="1" applyBorder="1" applyAlignment="1">
      <alignment/>
    </xf>
    <xf numFmtId="0" fontId="91" fillId="33" borderId="19" xfId="0" applyFont="1" applyFill="1" applyBorder="1" applyAlignment="1">
      <alignment/>
    </xf>
    <xf numFmtId="2" fontId="91" fillId="35" borderId="10" xfId="0" applyNumberFormat="1" applyFont="1" applyFill="1" applyBorder="1" applyAlignment="1">
      <alignment/>
    </xf>
    <xf numFmtId="0" fontId="91" fillId="35" borderId="10" xfId="0" applyFont="1" applyFill="1" applyBorder="1" applyAlignment="1">
      <alignment horizontal="left"/>
    </xf>
    <xf numFmtId="0" fontId="35" fillId="0" borderId="15" xfId="0" applyFont="1" applyFill="1" applyBorder="1" applyAlignment="1" quotePrefix="1">
      <alignment horizontal="center"/>
    </xf>
    <xf numFmtId="0" fontId="35" fillId="0" borderId="10" xfId="0" applyFont="1" applyBorder="1" applyAlignment="1">
      <alignment/>
    </xf>
    <xf numFmtId="1" fontId="35" fillId="0" borderId="10" xfId="0" applyNumberFormat="1" applyFont="1" applyBorder="1" applyAlignment="1">
      <alignment/>
    </xf>
    <xf numFmtId="0" fontId="35" fillId="33" borderId="10" xfId="0" applyFont="1" applyFill="1" applyBorder="1" applyAlignment="1">
      <alignment/>
    </xf>
    <xf numFmtId="1" fontId="35" fillId="35" borderId="14" xfId="0" applyNumberFormat="1" applyFont="1" applyFill="1" applyBorder="1" applyAlignment="1">
      <alignment/>
    </xf>
    <xf numFmtId="1" fontId="35" fillId="33" borderId="15" xfId="0" applyNumberFormat="1" applyFont="1" applyFill="1" applyBorder="1" applyAlignment="1">
      <alignment/>
    </xf>
    <xf numFmtId="1" fontId="35" fillId="33" borderId="24" xfId="0" applyNumberFormat="1" applyFont="1" applyFill="1" applyBorder="1" applyAlignment="1">
      <alignment/>
    </xf>
    <xf numFmtId="1" fontId="35" fillId="33" borderId="11" xfId="0" applyNumberFormat="1" applyFont="1" applyFill="1" applyBorder="1" applyAlignment="1">
      <alignment/>
    </xf>
    <xf numFmtId="1" fontId="35" fillId="33" borderId="48" xfId="0" applyNumberFormat="1" applyFont="1" applyFill="1" applyBorder="1" applyAlignment="1">
      <alignment/>
    </xf>
    <xf numFmtId="0" fontId="35" fillId="33" borderId="19" xfId="0" applyFont="1" applyFill="1" applyBorder="1" applyAlignment="1">
      <alignment/>
    </xf>
    <xf numFmtId="0" fontId="35" fillId="0" borderId="0" xfId="0" applyFont="1" applyFill="1" applyBorder="1" applyAlignment="1">
      <alignment/>
    </xf>
    <xf numFmtId="0" fontId="35" fillId="0" borderId="0" xfId="0" applyFont="1" applyFill="1" applyAlignment="1">
      <alignment/>
    </xf>
    <xf numFmtId="0" fontId="35" fillId="0" borderId="0" xfId="0" applyFont="1" applyAlignment="1">
      <alignment/>
    </xf>
    <xf numFmtId="2" fontId="91" fillId="35" borderId="14" xfId="0" applyNumberFormat="1" applyFont="1" applyFill="1" applyBorder="1" applyAlignment="1">
      <alignment/>
    </xf>
    <xf numFmtId="0" fontId="91" fillId="35" borderId="15" xfId="0" applyFont="1" applyFill="1" applyBorder="1" applyAlignment="1">
      <alignment horizontal="center"/>
    </xf>
    <xf numFmtId="0" fontId="92" fillId="0" borderId="15" xfId="0" applyFont="1" applyBorder="1" applyAlignment="1">
      <alignment/>
    </xf>
    <xf numFmtId="173" fontId="92" fillId="0" borderId="10" xfId="0" applyNumberFormat="1" applyFont="1" applyBorder="1" applyAlignment="1">
      <alignment/>
    </xf>
    <xf numFmtId="0" fontId="92" fillId="0" borderId="55" xfId="0" applyFont="1" applyBorder="1" applyAlignment="1">
      <alignment/>
    </xf>
    <xf numFmtId="1" fontId="92" fillId="0" borderId="64" xfId="0" applyNumberFormat="1" applyFont="1" applyBorder="1" applyAlignment="1">
      <alignment/>
    </xf>
    <xf numFmtId="0" fontId="92" fillId="0" borderId="0" xfId="0" applyFont="1" applyBorder="1" applyAlignment="1">
      <alignment/>
    </xf>
    <xf numFmtId="0" fontId="92" fillId="0" borderId="15" xfId="0" applyFont="1" applyFill="1" applyBorder="1" applyAlignment="1" quotePrefix="1">
      <alignment horizontal="center"/>
    </xf>
    <xf numFmtId="0" fontId="92" fillId="0" borderId="10" xfId="0" applyFont="1" applyBorder="1" applyAlignment="1">
      <alignment/>
    </xf>
    <xf numFmtId="1" fontId="92" fillId="0" borderId="10" xfId="0" applyNumberFormat="1" applyFont="1" applyFill="1" applyBorder="1" applyAlignment="1" quotePrefix="1">
      <alignment horizontal="right"/>
    </xf>
    <xf numFmtId="0" fontId="92" fillId="0" borderId="56" xfId="0" applyFont="1" applyBorder="1" applyAlignment="1">
      <alignment/>
    </xf>
    <xf numFmtId="0" fontId="92" fillId="0" borderId="15" xfId="0" applyFont="1" applyBorder="1" applyAlignment="1" quotePrefix="1">
      <alignment/>
    </xf>
    <xf numFmtId="0" fontId="93" fillId="0" borderId="0" xfId="0" applyFont="1" applyFill="1" applyAlignment="1">
      <alignment/>
    </xf>
    <xf numFmtId="0" fontId="91" fillId="0" borderId="15" xfId="0" applyFont="1" applyFill="1" applyBorder="1" applyAlignment="1">
      <alignment/>
    </xf>
    <xf numFmtId="1" fontId="91" fillId="0" borderId="65" xfId="0" applyNumberFormat="1" applyFont="1" applyFill="1" applyBorder="1" applyAlignment="1">
      <alignment/>
    </xf>
    <xf numFmtId="0" fontId="91" fillId="0" borderId="64" xfId="0" applyFont="1" applyFill="1" applyBorder="1" applyAlignment="1">
      <alignment/>
    </xf>
    <xf numFmtId="0" fontId="93" fillId="0" borderId="0" xfId="0" applyFont="1" applyBorder="1" applyAlignment="1">
      <alignment/>
    </xf>
    <xf numFmtId="0" fontId="93" fillId="0" borderId="56" xfId="0" applyFont="1" applyBorder="1" applyAlignment="1">
      <alignment/>
    </xf>
    <xf numFmtId="0" fontId="0" fillId="0" borderId="26" xfId="0" applyBorder="1" applyAlignment="1">
      <alignment horizontal="center" textRotation="75" wrapText="1"/>
    </xf>
    <xf numFmtId="0" fontId="0" fillId="0" borderId="27" xfId="0" applyBorder="1" applyAlignment="1">
      <alignment horizontal="center" textRotation="75" wrapText="1"/>
    </xf>
    <xf numFmtId="0" fontId="0" fillId="0" borderId="14" xfId="0" applyNumberFormat="1" applyFill="1" applyBorder="1" applyAlignment="1">
      <alignment/>
    </xf>
    <xf numFmtId="0" fontId="0" fillId="35" borderId="14" xfId="0" applyFont="1" applyFill="1" applyBorder="1" applyAlignment="1">
      <alignment/>
    </xf>
    <xf numFmtId="1" fontId="91" fillId="35" borderId="57" xfId="0" applyNumberFormat="1" applyFont="1" applyFill="1" applyBorder="1" applyAlignment="1">
      <alignment/>
    </xf>
    <xf numFmtId="1" fontId="91" fillId="35" borderId="22" xfId="0" applyNumberFormat="1" applyFont="1" applyFill="1" applyBorder="1" applyAlignment="1">
      <alignment horizontal="right"/>
    </xf>
    <xf numFmtId="1" fontId="91" fillId="35" borderId="63" xfId="0" applyNumberFormat="1" applyFont="1" applyFill="1" applyBorder="1" applyAlignment="1">
      <alignment/>
    </xf>
    <xf numFmtId="0" fontId="91" fillId="0" borderId="53" xfId="0" applyFont="1" applyBorder="1" applyAlignment="1">
      <alignment horizontal="left"/>
    </xf>
    <xf numFmtId="0" fontId="91" fillId="0" borderId="55" xfId="0" applyFont="1" applyFill="1" applyBorder="1" applyAlignment="1">
      <alignment horizontal="center"/>
    </xf>
    <xf numFmtId="0" fontId="0" fillId="0" borderId="43" xfId="0" applyBorder="1" applyAlignment="1">
      <alignment horizontal="center"/>
    </xf>
    <xf numFmtId="0" fontId="84" fillId="0" borderId="15" xfId="0" applyFont="1" applyBorder="1" applyAlignment="1">
      <alignment horizontal="center"/>
    </xf>
    <xf numFmtId="1" fontId="84" fillId="0" borderId="14" xfId="0" applyNumberFormat="1" applyFont="1" applyBorder="1" applyAlignment="1">
      <alignment/>
    </xf>
    <xf numFmtId="0" fontId="91" fillId="0" borderId="53" xfId="0" applyFont="1" applyFill="1" applyBorder="1" applyAlignment="1">
      <alignment/>
    </xf>
    <xf numFmtId="0" fontId="91" fillId="0" borderId="54" xfId="0" applyFont="1" applyFill="1" applyBorder="1" applyAlignment="1">
      <alignment/>
    </xf>
    <xf numFmtId="0" fontId="91" fillId="0" borderId="54" xfId="0" applyFont="1" applyBorder="1" applyAlignment="1">
      <alignment/>
    </xf>
    <xf numFmtId="0" fontId="92" fillId="0" borderId="54" xfId="0" applyFont="1" applyBorder="1" applyAlignment="1">
      <alignment/>
    </xf>
    <xf numFmtId="0" fontId="91" fillId="0" borderId="55" xfId="0" applyFont="1" applyBorder="1" applyAlignment="1">
      <alignment/>
    </xf>
    <xf numFmtId="0" fontId="91" fillId="0" borderId="18" xfId="0" applyFont="1" applyFill="1" applyBorder="1" applyAlignment="1">
      <alignment/>
    </xf>
    <xf numFmtId="0" fontId="91" fillId="0" borderId="0" xfId="0" applyFont="1" applyBorder="1" applyAlignment="1">
      <alignment/>
    </xf>
    <xf numFmtId="0" fontId="94" fillId="0" borderId="11" xfId="0" applyFont="1" applyBorder="1" applyAlignment="1">
      <alignment horizontal="center" vertical="center" wrapText="1"/>
    </xf>
    <xf numFmtId="0" fontId="84" fillId="0" borderId="46" xfId="0" applyFont="1" applyBorder="1" applyAlignment="1">
      <alignment/>
    </xf>
    <xf numFmtId="0" fontId="0" fillId="0" borderId="47" xfId="0" applyBorder="1" applyAlignment="1">
      <alignment horizontal="center"/>
    </xf>
    <xf numFmtId="1" fontId="0" fillId="33" borderId="43" xfId="0" applyNumberFormat="1" applyFont="1" applyFill="1" applyBorder="1" applyAlignment="1">
      <alignment/>
    </xf>
    <xf numFmtId="1" fontId="0" fillId="0" borderId="47" xfId="0" applyNumberFormat="1" applyFont="1" applyFill="1" applyBorder="1" applyAlignment="1">
      <alignment/>
    </xf>
    <xf numFmtId="0" fontId="0" fillId="0" borderId="47" xfId="0" applyFont="1" applyFill="1" applyBorder="1" applyAlignment="1">
      <alignment/>
    </xf>
    <xf numFmtId="1" fontId="86" fillId="0" borderId="11" xfId="0" applyNumberFormat="1" applyFont="1" applyBorder="1" applyAlignment="1">
      <alignment/>
    </xf>
    <xf numFmtId="1" fontId="86" fillId="0" borderId="48" xfId="0" applyNumberFormat="1" applyFont="1" applyBorder="1" applyAlignment="1">
      <alignment/>
    </xf>
    <xf numFmtId="0" fontId="91" fillId="35" borderId="16" xfId="0" applyFont="1" applyFill="1" applyBorder="1" applyAlignment="1" quotePrefix="1">
      <alignment horizontal="center"/>
    </xf>
    <xf numFmtId="0" fontId="91" fillId="35" borderId="12" xfId="0" applyFont="1" applyFill="1" applyBorder="1" applyAlignment="1">
      <alignment/>
    </xf>
    <xf numFmtId="1" fontId="91" fillId="35" borderId="12" xfId="0" applyNumberFormat="1" applyFont="1" applyFill="1" applyBorder="1" applyAlignment="1">
      <alignment/>
    </xf>
    <xf numFmtId="1" fontId="91" fillId="35" borderId="38" xfId="0" applyNumberFormat="1" applyFont="1" applyFill="1" applyBorder="1" applyAlignment="1">
      <alignment/>
    </xf>
    <xf numFmtId="1" fontId="91" fillId="35" borderId="16" xfId="0" applyNumberFormat="1" applyFont="1" applyFill="1" applyBorder="1" applyAlignment="1">
      <alignment/>
    </xf>
    <xf numFmtId="1" fontId="91" fillId="35" borderId="30" xfId="0" applyNumberFormat="1" applyFont="1" applyFill="1" applyBorder="1" applyAlignment="1">
      <alignment/>
    </xf>
    <xf numFmtId="1" fontId="91" fillId="0" borderId="0" xfId="0" applyNumberFormat="1" applyFont="1" applyFill="1" applyBorder="1" applyAlignment="1">
      <alignment/>
    </xf>
    <xf numFmtId="0" fontId="0" fillId="35" borderId="48" xfId="0" applyFont="1" applyFill="1" applyBorder="1" applyAlignment="1">
      <alignment/>
    </xf>
    <xf numFmtId="0" fontId="0" fillId="0" borderId="14" xfId="0" applyBorder="1" applyAlignment="1">
      <alignment/>
    </xf>
    <xf numFmtId="172" fontId="84" fillId="35" borderId="24" xfId="0" applyNumberFormat="1" applyFont="1" applyFill="1" applyBorder="1" applyAlignment="1">
      <alignment/>
    </xf>
    <xf numFmtId="172" fontId="89" fillId="35" borderId="24" xfId="0" applyNumberFormat="1" applyFont="1" applyFill="1" applyBorder="1" applyAlignment="1">
      <alignment/>
    </xf>
    <xf numFmtId="1" fontId="91" fillId="0" borderId="46" xfId="0" applyNumberFormat="1" applyFont="1" applyFill="1" applyBorder="1" applyAlignment="1">
      <alignment/>
    </xf>
    <xf numFmtId="172" fontId="89" fillId="35" borderId="48" xfId="0" applyNumberFormat="1" applyFont="1" applyFill="1" applyBorder="1" applyAlignment="1">
      <alignment/>
    </xf>
    <xf numFmtId="1" fontId="91" fillId="35" borderId="52" xfId="0" applyNumberFormat="1" applyFont="1" applyFill="1" applyBorder="1" applyAlignment="1">
      <alignment/>
    </xf>
    <xf numFmtId="0" fontId="0" fillId="0" borderId="16" xfId="0" applyBorder="1" applyAlignment="1">
      <alignment horizontal="center" vertical="center" wrapText="1"/>
    </xf>
    <xf numFmtId="0" fontId="0" fillId="0" borderId="31" xfId="0" applyBorder="1" applyAlignment="1">
      <alignment horizontal="center" vertical="center" wrapText="1"/>
    </xf>
    <xf numFmtId="0" fontId="84" fillId="35" borderId="31" xfId="0" applyFont="1" applyFill="1" applyBorder="1" applyAlignment="1">
      <alignment horizontal="center" vertical="center" wrapText="1"/>
    </xf>
    <xf numFmtId="1" fontId="91" fillId="35" borderId="44" xfId="0" applyNumberFormat="1" applyFont="1" applyFill="1" applyBorder="1" applyAlignment="1">
      <alignment/>
    </xf>
    <xf numFmtId="0" fontId="0" fillId="0" borderId="59" xfId="0" applyNumberFormat="1" applyBorder="1" applyAlignment="1">
      <alignment/>
    </xf>
    <xf numFmtId="0" fontId="0" fillId="0" borderId="60" xfId="0" applyNumberFormat="1" applyFill="1" applyBorder="1" applyAlignment="1">
      <alignment/>
    </xf>
    <xf numFmtId="1" fontId="89" fillId="35" borderId="33" xfId="0" applyNumberFormat="1" applyFont="1" applyFill="1" applyBorder="1" applyAlignment="1">
      <alignment/>
    </xf>
    <xf numFmtId="1" fontId="84" fillId="35" borderId="52" xfId="0" applyNumberFormat="1" applyFont="1" applyFill="1" applyBorder="1" applyAlignment="1">
      <alignment/>
    </xf>
    <xf numFmtId="0" fontId="95" fillId="0" borderId="0" xfId="0" applyFont="1" applyAlignment="1">
      <alignment/>
    </xf>
    <xf numFmtId="0" fontId="95" fillId="0" borderId="0" xfId="0" applyFont="1" applyFill="1" applyAlignment="1">
      <alignment/>
    </xf>
    <xf numFmtId="0" fontId="94" fillId="0" borderId="0" xfId="0" applyFont="1" applyAlignment="1">
      <alignment/>
    </xf>
    <xf numFmtId="0" fontId="94" fillId="0" borderId="0" xfId="0" applyFont="1" applyFill="1" applyAlignment="1">
      <alignment/>
    </xf>
    <xf numFmtId="0" fontId="91" fillId="0" borderId="0" xfId="0" applyFont="1" applyFill="1" applyBorder="1" applyAlignment="1">
      <alignment horizontal="left"/>
    </xf>
    <xf numFmtId="0" fontId="95" fillId="0" borderId="0" xfId="0" applyFont="1" applyFill="1" applyBorder="1" applyAlignment="1">
      <alignment/>
    </xf>
    <xf numFmtId="0" fontId="94" fillId="0" borderId="0" xfId="0" applyFont="1" applyFill="1" applyBorder="1" applyAlignment="1">
      <alignment/>
    </xf>
    <xf numFmtId="0" fontId="0" fillId="0" borderId="15" xfId="0" applyFont="1" applyBorder="1" applyAlignment="1">
      <alignment horizontal="right"/>
    </xf>
    <xf numFmtId="0" fontId="96" fillId="0" borderId="0" xfId="0" applyFont="1" applyFill="1" applyAlignment="1">
      <alignment/>
    </xf>
    <xf numFmtId="1" fontId="94" fillId="33" borderId="14" xfId="0" applyNumberFormat="1" applyFont="1" applyFill="1" applyBorder="1" applyAlignment="1">
      <alignment/>
    </xf>
    <xf numFmtId="1" fontId="0" fillId="0" borderId="10" xfId="0" applyNumberFormat="1" applyBorder="1" applyAlignment="1">
      <alignment horizontal="right"/>
    </xf>
    <xf numFmtId="1" fontId="99" fillId="35" borderId="10" xfId="0" applyNumberFormat="1" applyFont="1" applyFill="1" applyBorder="1" applyAlignment="1">
      <alignment/>
    </xf>
    <xf numFmtId="1" fontId="99" fillId="35" borderId="14" xfId="0" applyNumberFormat="1" applyFont="1" applyFill="1" applyBorder="1" applyAlignment="1">
      <alignment/>
    </xf>
    <xf numFmtId="0" fontId="100" fillId="0" borderId="0" xfId="0" applyFont="1" applyAlignment="1">
      <alignment/>
    </xf>
    <xf numFmtId="0" fontId="101" fillId="0" borderId="0" xfId="0" applyFont="1" applyAlignment="1">
      <alignment/>
    </xf>
    <xf numFmtId="0" fontId="100" fillId="0" borderId="0" xfId="0" applyFont="1" applyFill="1" applyAlignment="1">
      <alignment/>
    </xf>
    <xf numFmtId="0" fontId="101" fillId="0" borderId="0" xfId="0" applyFont="1" applyAlignment="1">
      <alignment horizontal="left"/>
    </xf>
    <xf numFmtId="0" fontId="102" fillId="0" borderId="0" xfId="0" applyFont="1" applyAlignment="1">
      <alignment horizontal="left"/>
    </xf>
    <xf numFmtId="1" fontId="0" fillId="0" borderId="14" xfId="0" applyNumberFormat="1" applyBorder="1" applyAlignment="1">
      <alignment horizontal="right"/>
    </xf>
    <xf numFmtId="0" fontId="91" fillId="35" borderId="17" xfId="0" applyFont="1" applyFill="1" applyBorder="1" applyAlignment="1">
      <alignment horizontal="center"/>
    </xf>
    <xf numFmtId="0" fontId="91" fillId="35" borderId="13" xfId="0" applyFont="1" applyFill="1" applyBorder="1" applyAlignment="1">
      <alignment horizontal="left"/>
    </xf>
    <xf numFmtId="1" fontId="99" fillId="35" borderId="13" xfId="0" applyNumberFormat="1" applyFont="1" applyFill="1" applyBorder="1" applyAlignment="1">
      <alignment/>
    </xf>
    <xf numFmtId="1" fontId="99" fillId="35" borderId="25" xfId="0" applyNumberFormat="1" applyFont="1" applyFill="1" applyBorder="1" applyAlignment="1">
      <alignment/>
    </xf>
    <xf numFmtId="0" fontId="0" fillId="0" borderId="24" xfId="0" applyBorder="1" applyAlignment="1">
      <alignment horizontal="center" vertical="center" wrapText="1"/>
    </xf>
    <xf numFmtId="1" fontId="91" fillId="35" borderId="42" xfId="0" applyNumberFormat="1" applyFont="1" applyFill="1" applyBorder="1" applyAlignment="1">
      <alignment/>
    </xf>
    <xf numFmtId="1" fontId="91" fillId="35" borderId="29" xfId="0" applyNumberFormat="1" applyFont="1" applyFill="1" applyBorder="1" applyAlignment="1">
      <alignment horizontal="right"/>
    </xf>
    <xf numFmtId="0" fontId="0" fillId="35" borderId="14" xfId="0" applyFill="1" applyBorder="1" applyAlignment="1">
      <alignment/>
    </xf>
    <xf numFmtId="0" fontId="0" fillId="0" borderId="33" xfId="0" applyBorder="1" applyAlignment="1">
      <alignment horizontal="center" vertical="center" wrapText="1"/>
    </xf>
    <xf numFmtId="0" fontId="0" fillId="0" borderId="66" xfId="0" applyBorder="1" applyAlignment="1">
      <alignment/>
    </xf>
    <xf numFmtId="0" fontId="0" fillId="0" borderId="67" xfId="0" applyFill="1" applyBorder="1" applyAlignment="1">
      <alignment horizontal="center"/>
    </xf>
    <xf numFmtId="0" fontId="0" fillId="0" borderId="22" xfId="0" applyBorder="1" applyAlignment="1">
      <alignment/>
    </xf>
    <xf numFmtId="172" fontId="0" fillId="0" borderId="22" xfId="0" applyNumberFormat="1" applyBorder="1" applyAlignment="1">
      <alignment/>
    </xf>
    <xf numFmtId="1" fontId="84" fillId="35" borderId="22" xfId="0" applyNumberFormat="1" applyFont="1" applyFill="1" applyBorder="1" applyAlignment="1">
      <alignment/>
    </xf>
    <xf numFmtId="1" fontId="84" fillId="35" borderId="29" xfId="0" applyNumberFormat="1" applyFont="1" applyFill="1" applyBorder="1" applyAlignment="1">
      <alignment/>
    </xf>
    <xf numFmtId="172" fontId="84" fillId="35" borderId="42" xfId="0" applyNumberFormat="1" applyFont="1" applyFill="1" applyBorder="1" applyAlignment="1">
      <alignment/>
    </xf>
    <xf numFmtId="0" fontId="25" fillId="33" borderId="10" xfId="0" applyFont="1" applyFill="1" applyBorder="1" applyAlignment="1">
      <alignment/>
    </xf>
    <xf numFmtId="0" fontId="26" fillId="33" borderId="10" xfId="0" applyFont="1" applyFill="1" applyBorder="1" applyAlignment="1">
      <alignment/>
    </xf>
    <xf numFmtId="0" fontId="25" fillId="33" borderId="11" xfId="0" applyFont="1" applyFill="1" applyBorder="1" applyAlignment="1">
      <alignment/>
    </xf>
    <xf numFmtId="0" fontId="26" fillId="0" borderId="48" xfId="0" applyFont="1" applyBorder="1" applyAlignment="1">
      <alignment/>
    </xf>
    <xf numFmtId="1" fontId="89" fillId="35" borderId="11" xfId="0" applyNumberFormat="1" applyFont="1" applyFill="1" applyBorder="1" applyAlignment="1">
      <alignment/>
    </xf>
    <xf numFmtId="0" fontId="86" fillId="0" borderId="15" xfId="0" applyFont="1" applyBorder="1" applyAlignment="1">
      <alignment/>
    </xf>
    <xf numFmtId="0" fontId="86" fillId="35" borderId="10" xfId="0" applyFont="1" applyFill="1" applyBorder="1" applyAlignment="1">
      <alignment/>
    </xf>
    <xf numFmtId="172" fontId="84" fillId="0" borderId="15" xfId="0" applyNumberFormat="1" applyFont="1" applyBorder="1" applyAlignment="1">
      <alignment/>
    </xf>
    <xf numFmtId="0" fontId="86" fillId="0" borderId="61" xfId="0" applyFont="1" applyBorder="1" applyAlignment="1">
      <alignment/>
    </xf>
    <xf numFmtId="0" fontId="86" fillId="0" borderId="67" xfId="0" applyFont="1" applyFill="1" applyBorder="1" applyAlignment="1">
      <alignment/>
    </xf>
    <xf numFmtId="0" fontId="86" fillId="0" borderId="42" xfId="0" applyFont="1" applyFill="1" applyBorder="1" applyAlignment="1">
      <alignment/>
    </xf>
    <xf numFmtId="172" fontId="0" fillId="35" borderId="42" xfId="0" applyNumberFormat="1" applyFont="1" applyFill="1" applyBorder="1" applyAlignment="1">
      <alignment/>
    </xf>
    <xf numFmtId="0" fontId="86" fillId="33" borderId="29" xfId="0" applyFont="1" applyFill="1" applyBorder="1" applyAlignment="1">
      <alignment/>
    </xf>
    <xf numFmtId="0" fontId="86" fillId="33" borderId="68" xfId="0" applyFont="1" applyFill="1" applyBorder="1" applyAlignment="1">
      <alignment/>
    </xf>
    <xf numFmtId="0" fontId="86" fillId="33" borderId="63" xfId="0" applyFont="1" applyFill="1" applyBorder="1" applyAlignment="1">
      <alignment/>
    </xf>
    <xf numFmtId="0" fontId="86" fillId="0" borderId="30" xfId="0" applyFont="1" applyFill="1" applyBorder="1" applyAlignment="1">
      <alignment/>
    </xf>
    <xf numFmtId="172" fontId="0" fillId="35" borderId="30" xfId="0" applyNumberFormat="1" applyFont="1" applyFill="1" applyBorder="1" applyAlignment="1">
      <alignment/>
    </xf>
    <xf numFmtId="1" fontId="92" fillId="0" borderId="41" xfId="0" applyNumberFormat="1" applyFont="1" applyFill="1" applyBorder="1" applyAlignment="1">
      <alignment/>
    </xf>
    <xf numFmtId="0" fontId="86" fillId="0" borderId="49" xfId="0" applyFont="1" applyFill="1" applyBorder="1" applyAlignment="1">
      <alignment/>
    </xf>
    <xf numFmtId="172" fontId="0" fillId="35" borderId="49" xfId="0" applyNumberFormat="1" applyFont="1" applyFill="1" applyBorder="1" applyAlignment="1">
      <alignment/>
    </xf>
    <xf numFmtId="1" fontId="91" fillId="33" borderId="27" xfId="0" applyNumberFormat="1" applyFont="1" applyFill="1" applyBorder="1" applyAlignment="1">
      <alignment/>
    </xf>
    <xf numFmtId="1" fontId="91" fillId="33" borderId="58" xfId="0" applyNumberFormat="1" applyFont="1" applyFill="1" applyBorder="1" applyAlignment="1">
      <alignment/>
    </xf>
    <xf numFmtId="0" fontId="92" fillId="33" borderId="46" xfId="0" applyFont="1" applyFill="1" applyBorder="1" applyAlignment="1">
      <alignment/>
    </xf>
    <xf numFmtId="0" fontId="99" fillId="35" borderId="13" xfId="0" applyFont="1" applyFill="1" applyBorder="1" applyAlignment="1">
      <alignment horizontal="center" vertical="center" wrapText="1"/>
    </xf>
    <xf numFmtId="173" fontId="0" fillId="0" borderId="10" xfId="0" applyNumberFormat="1" applyFill="1" applyBorder="1" applyAlignment="1">
      <alignment/>
    </xf>
    <xf numFmtId="172" fontId="89" fillId="35" borderId="38" xfId="0" applyNumberFormat="1" applyFont="1" applyFill="1" applyBorder="1" applyAlignment="1">
      <alignment/>
    </xf>
    <xf numFmtId="172" fontId="86" fillId="35" borderId="10" xfId="0" applyNumberFormat="1" applyFont="1" applyFill="1" applyBorder="1" applyAlignment="1">
      <alignment/>
    </xf>
    <xf numFmtId="172" fontId="86" fillId="0" borderId="17" xfId="0" applyNumberFormat="1" applyFont="1" applyFill="1" applyBorder="1" applyAlignment="1">
      <alignment/>
    </xf>
    <xf numFmtId="172" fontId="86" fillId="35" borderId="28" xfId="0" applyNumberFormat="1" applyFont="1" applyFill="1" applyBorder="1" applyAlignment="1">
      <alignment/>
    </xf>
    <xf numFmtId="0" fontId="86" fillId="33" borderId="25" xfId="0" applyFont="1" applyFill="1" applyBorder="1" applyAlignment="1">
      <alignment/>
    </xf>
    <xf numFmtId="0" fontId="86" fillId="33" borderId="60" xfId="0" applyFont="1" applyFill="1" applyBorder="1" applyAlignment="1">
      <alignment/>
    </xf>
    <xf numFmtId="1" fontId="0" fillId="0" borderId="24" xfId="0" applyNumberFormat="1" applyBorder="1" applyAlignment="1">
      <alignment/>
    </xf>
    <xf numFmtId="1" fontId="0" fillId="0" borderId="28" xfId="0" applyNumberFormat="1" applyFill="1" applyBorder="1" applyAlignment="1">
      <alignment/>
    </xf>
    <xf numFmtId="0" fontId="0" fillId="0" borderId="39" xfId="0" applyFill="1" applyBorder="1" applyAlignment="1">
      <alignment horizontal="left"/>
    </xf>
    <xf numFmtId="0" fontId="0" fillId="0" borderId="10" xfId="0" applyFill="1" applyBorder="1" applyAlignment="1">
      <alignment horizontal="left"/>
    </xf>
    <xf numFmtId="0" fontId="0" fillId="0" borderId="13" xfId="0" applyFill="1" applyBorder="1" applyAlignment="1">
      <alignment horizontal="left"/>
    </xf>
    <xf numFmtId="1" fontId="86" fillId="0" borderId="10" xfId="0" applyNumberFormat="1" applyFont="1" applyFill="1" applyBorder="1" applyAlignment="1" quotePrefix="1">
      <alignment horizontal="right"/>
    </xf>
    <xf numFmtId="1" fontId="86" fillId="0" borderId="48" xfId="0" applyNumberFormat="1" applyFont="1" applyFill="1" applyBorder="1" applyAlignment="1">
      <alignment/>
    </xf>
    <xf numFmtId="0" fontId="86" fillId="0" borderId="48" xfId="0" applyFont="1" applyFill="1" applyBorder="1" applyAlignment="1">
      <alignment/>
    </xf>
    <xf numFmtId="1" fontId="0" fillId="35" borderId="48" xfId="0" applyNumberFormat="1" applyFont="1" applyFill="1" applyBorder="1" applyAlignment="1">
      <alignment/>
    </xf>
    <xf numFmtId="1" fontId="0" fillId="35" borderId="47" xfId="0" applyNumberFormat="1" applyFont="1" applyFill="1" applyBorder="1" applyAlignment="1">
      <alignment/>
    </xf>
    <xf numFmtId="1" fontId="0" fillId="0" borderId="11" xfId="0" applyNumberFormat="1" applyFill="1" applyBorder="1" applyAlignment="1">
      <alignment/>
    </xf>
    <xf numFmtId="0" fontId="0" fillId="0" borderId="15" xfId="0" applyFont="1" applyFill="1" applyBorder="1" applyAlignment="1">
      <alignment horizontal="center"/>
    </xf>
    <xf numFmtId="1" fontId="91" fillId="33" borderId="14" xfId="0" applyNumberFormat="1" applyFont="1" applyFill="1" applyBorder="1" applyAlignment="1">
      <alignment/>
    </xf>
    <xf numFmtId="0" fontId="86" fillId="0" borderId="17" xfId="0" applyFont="1" applyBorder="1" applyAlignment="1">
      <alignment horizontal="right"/>
    </xf>
    <xf numFmtId="0" fontId="86" fillId="0" borderId="13" xfId="0" applyFont="1" applyFill="1" applyBorder="1" applyAlignment="1">
      <alignment horizontal="right"/>
    </xf>
    <xf numFmtId="1" fontId="86" fillId="0" borderId="13" xfId="0" applyNumberFormat="1" applyFont="1" applyFill="1" applyBorder="1" applyAlignment="1">
      <alignment/>
    </xf>
    <xf numFmtId="2" fontId="91" fillId="33" borderId="13" xfId="0" applyNumberFormat="1" applyFont="1" applyFill="1" applyBorder="1" applyAlignment="1">
      <alignment/>
    </xf>
    <xf numFmtId="1" fontId="91" fillId="33" borderId="25" xfId="0" applyNumberFormat="1" applyFont="1" applyFill="1" applyBorder="1" applyAlignment="1">
      <alignment/>
    </xf>
    <xf numFmtId="0" fontId="84" fillId="0" borderId="18" xfId="0" applyFont="1" applyBorder="1" applyAlignment="1">
      <alignment horizontal="center"/>
    </xf>
    <xf numFmtId="0" fontId="103" fillId="0" borderId="0" xfId="0" applyFont="1" applyBorder="1" applyAlignment="1">
      <alignment horizontal="left"/>
    </xf>
    <xf numFmtId="173" fontId="103" fillId="0" borderId="39" xfId="0" applyNumberFormat="1" applyFont="1" applyBorder="1" applyAlignment="1">
      <alignment/>
    </xf>
    <xf numFmtId="173" fontId="103" fillId="0" borderId="23" xfId="0" applyNumberFormat="1" applyFont="1" applyBorder="1" applyAlignment="1">
      <alignment/>
    </xf>
    <xf numFmtId="173" fontId="103" fillId="0" borderId="40" xfId="0" applyNumberFormat="1" applyFont="1" applyBorder="1" applyAlignment="1">
      <alignment/>
    </xf>
    <xf numFmtId="0" fontId="0" fillId="0" borderId="23" xfId="0" applyBorder="1" applyAlignment="1">
      <alignment/>
    </xf>
    <xf numFmtId="0" fontId="0" fillId="0" borderId="40" xfId="0" applyBorder="1" applyAlignment="1">
      <alignment/>
    </xf>
    <xf numFmtId="0" fontId="0" fillId="0" borderId="39" xfId="0" applyBorder="1" applyAlignment="1">
      <alignment/>
    </xf>
    <xf numFmtId="0" fontId="93" fillId="35" borderId="10" xfId="0" applyFont="1" applyFill="1" applyBorder="1" applyAlignment="1">
      <alignment horizontal="left"/>
    </xf>
    <xf numFmtId="1" fontId="93" fillId="35" borderId="24" xfId="0" applyNumberFormat="1" applyFont="1" applyFill="1" applyBorder="1" applyAlignment="1">
      <alignment horizontal="right"/>
    </xf>
    <xf numFmtId="1" fontId="93" fillId="35" borderId="10" xfId="0" applyNumberFormat="1" applyFont="1" applyFill="1" applyBorder="1" applyAlignment="1">
      <alignment horizontal="right"/>
    </xf>
    <xf numFmtId="1" fontId="93" fillId="35" borderId="11" xfId="0" applyNumberFormat="1" applyFont="1" applyFill="1" applyBorder="1" applyAlignment="1">
      <alignment horizontal="right"/>
    </xf>
    <xf numFmtId="0" fontId="93" fillId="36" borderId="10" xfId="0" applyFont="1" applyFill="1" applyBorder="1" applyAlignment="1">
      <alignment/>
    </xf>
    <xf numFmtId="0" fontId="93" fillId="36" borderId="14" xfId="0" applyFont="1" applyFill="1" applyBorder="1" applyAlignment="1">
      <alignment/>
    </xf>
    <xf numFmtId="0" fontId="93" fillId="36" borderId="24" xfId="0" applyFont="1" applyFill="1" applyBorder="1" applyAlignment="1">
      <alignment/>
    </xf>
    <xf numFmtId="0" fontId="93" fillId="36" borderId="48" xfId="0" applyFont="1" applyFill="1" applyBorder="1" applyAlignment="1">
      <alignment/>
    </xf>
    <xf numFmtId="0" fontId="93" fillId="0" borderId="0" xfId="0" applyFont="1" applyFill="1" applyBorder="1" applyAlignment="1">
      <alignment/>
    </xf>
    <xf numFmtId="0" fontId="93" fillId="36" borderId="0" xfId="0" applyFont="1" applyFill="1" applyAlignment="1">
      <alignment/>
    </xf>
    <xf numFmtId="172" fontId="86" fillId="0" borderId="24" xfId="0" applyNumberFormat="1" applyFont="1" applyFill="1" applyBorder="1" applyAlignment="1">
      <alignment horizontal="right"/>
    </xf>
    <xf numFmtId="172" fontId="86" fillId="0" borderId="10" xfId="0" applyNumberFormat="1" applyFont="1" applyFill="1" applyBorder="1" applyAlignment="1">
      <alignment horizontal="right"/>
    </xf>
    <xf numFmtId="172" fontId="86" fillId="0" borderId="11" xfId="0" applyNumberFormat="1" applyFont="1" applyFill="1" applyBorder="1" applyAlignment="1">
      <alignment horizontal="right"/>
    </xf>
    <xf numFmtId="0" fontId="86" fillId="0" borderId="14" xfId="0" applyFont="1" applyFill="1" applyBorder="1" applyAlignment="1">
      <alignment/>
    </xf>
    <xf numFmtId="0" fontId="93" fillId="35" borderId="15" xfId="0" applyFont="1" applyFill="1" applyBorder="1" applyAlignment="1">
      <alignment horizontal="right"/>
    </xf>
    <xf numFmtId="0" fontId="87" fillId="35" borderId="15" xfId="0" applyFont="1" applyFill="1" applyBorder="1" applyAlignment="1">
      <alignment horizontal="center"/>
    </xf>
    <xf numFmtId="0" fontId="96" fillId="35" borderId="10" xfId="0" applyFont="1" applyFill="1" applyBorder="1" applyAlignment="1">
      <alignment/>
    </xf>
    <xf numFmtId="0" fontId="96" fillId="35" borderId="14" xfId="0" applyFont="1" applyFill="1" applyBorder="1" applyAlignment="1">
      <alignment/>
    </xf>
    <xf numFmtId="0" fontId="96" fillId="35" borderId="24" xfId="0" applyFont="1" applyFill="1" applyBorder="1" applyAlignment="1">
      <alignment/>
    </xf>
    <xf numFmtId="0" fontId="96" fillId="35" borderId="48" xfId="0" applyFont="1" applyFill="1" applyBorder="1" applyAlignment="1">
      <alignment/>
    </xf>
    <xf numFmtId="0" fontId="96" fillId="0" borderId="0" xfId="0" applyFont="1" applyAlignment="1">
      <alignment/>
    </xf>
    <xf numFmtId="0" fontId="93" fillId="0" borderId="15" xfId="0" applyFont="1" applyFill="1" applyBorder="1" applyAlignment="1" quotePrefix="1">
      <alignment horizontal="right"/>
    </xf>
    <xf numFmtId="0" fontId="93" fillId="0" borderId="10" xfId="0" applyFont="1" applyFill="1" applyBorder="1" applyAlignment="1">
      <alignment/>
    </xf>
    <xf numFmtId="1" fontId="93" fillId="0" borderId="24" xfId="0" applyNumberFormat="1" applyFont="1" applyFill="1" applyBorder="1" applyAlignment="1">
      <alignment/>
    </xf>
    <xf numFmtId="1" fontId="93" fillId="0" borderId="10" xfId="0" applyNumberFormat="1" applyFont="1" applyFill="1" applyBorder="1" applyAlignment="1">
      <alignment/>
    </xf>
    <xf numFmtId="1" fontId="93" fillId="0" borderId="11" xfId="0" applyNumberFormat="1" applyFont="1" applyFill="1" applyBorder="1" applyAlignment="1">
      <alignment/>
    </xf>
    <xf numFmtId="1" fontId="93" fillId="0" borderId="14" xfId="0" applyNumberFormat="1" applyFont="1" applyFill="1" applyBorder="1" applyAlignment="1">
      <alignment horizontal="right"/>
    </xf>
    <xf numFmtId="1" fontId="93" fillId="0" borderId="10" xfId="0" applyNumberFormat="1" applyFont="1" applyFill="1" applyBorder="1" applyAlignment="1">
      <alignment horizontal="right"/>
    </xf>
    <xf numFmtId="1" fontId="93" fillId="0" borderId="48" xfId="0" applyNumberFormat="1" applyFont="1" applyFill="1" applyBorder="1" applyAlignment="1">
      <alignment/>
    </xf>
    <xf numFmtId="1" fontId="93" fillId="0" borderId="0" xfId="0" applyNumberFormat="1" applyFont="1" applyFill="1" applyBorder="1" applyAlignment="1">
      <alignment/>
    </xf>
    <xf numFmtId="1" fontId="93" fillId="0" borderId="0" xfId="0" applyNumberFormat="1" applyFont="1" applyFill="1" applyAlignment="1">
      <alignment/>
    </xf>
    <xf numFmtId="0" fontId="104" fillId="0" borderId="0" xfId="0" applyFont="1" applyFill="1" applyAlignment="1">
      <alignment/>
    </xf>
    <xf numFmtId="172" fontId="93" fillId="0" borderId="24" xfId="0" applyNumberFormat="1" applyFont="1" applyFill="1" applyBorder="1" applyAlignment="1">
      <alignment/>
    </xf>
    <xf numFmtId="172" fontId="93" fillId="0" borderId="10" xfId="0" applyNumberFormat="1" applyFont="1" applyFill="1" applyBorder="1" applyAlignment="1">
      <alignment/>
    </xf>
    <xf numFmtId="172" fontId="93" fillId="0" borderId="11" xfId="0" applyNumberFormat="1" applyFont="1" applyFill="1" applyBorder="1" applyAlignment="1">
      <alignment/>
    </xf>
    <xf numFmtId="2" fontId="93" fillId="0" borderId="24" xfId="0" applyNumberFormat="1" applyFont="1" applyFill="1" applyBorder="1" applyAlignment="1">
      <alignment/>
    </xf>
    <xf numFmtId="2" fontId="93" fillId="0" borderId="10" xfId="0" applyNumberFormat="1" applyFont="1" applyFill="1" applyBorder="1" applyAlignment="1">
      <alignment/>
    </xf>
    <xf numFmtId="2" fontId="93" fillId="0" borderId="11" xfId="0" applyNumberFormat="1" applyFont="1" applyFill="1" applyBorder="1" applyAlignment="1">
      <alignment/>
    </xf>
    <xf numFmtId="0" fontId="104" fillId="0" borderId="15" xfId="0" applyFont="1" applyFill="1" applyBorder="1" applyAlignment="1" quotePrefix="1">
      <alignment horizontal="right"/>
    </xf>
    <xf numFmtId="0" fontId="104" fillId="0" borderId="10" xfId="0" applyFont="1" applyFill="1" applyBorder="1" applyAlignment="1">
      <alignment horizontal="right"/>
    </xf>
    <xf numFmtId="1" fontId="104" fillId="0" borderId="24" xfId="0" applyNumberFormat="1" applyFont="1" applyFill="1" applyBorder="1" applyAlignment="1">
      <alignment/>
    </xf>
    <xf numFmtId="1" fontId="104" fillId="0" borderId="10" xfId="0" applyNumberFormat="1" applyFont="1" applyFill="1" applyBorder="1" applyAlignment="1">
      <alignment/>
    </xf>
    <xf numFmtId="1" fontId="104" fillId="0" borderId="11" xfId="0" applyNumberFormat="1" applyFont="1" applyFill="1" applyBorder="1" applyAlignment="1">
      <alignment/>
    </xf>
    <xf numFmtId="1" fontId="104" fillId="0" borderId="14" xfId="0" applyNumberFormat="1" applyFont="1" applyFill="1" applyBorder="1" applyAlignment="1">
      <alignment horizontal="right"/>
    </xf>
    <xf numFmtId="1" fontId="104" fillId="0" borderId="10" xfId="0" applyNumberFormat="1" applyFont="1" applyFill="1" applyBorder="1" applyAlignment="1">
      <alignment horizontal="right"/>
    </xf>
    <xf numFmtId="1" fontId="104" fillId="0" borderId="48" xfId="0" applyNumberFormat="1" applyFont="1" applyFill="1" applyBorder="1" applyAlignment="1">
      <alignment/>
    </xf>
    <xf numFmtId="1" fontId="104" fillId="0" borderId="0" xfId="0" applyNumberFormat="1" applyFont="1" applyFill="1" applyBorder="1" applyAlignment="1">
      <alignment/>
    </xf>
    <xf numFmtId="1" fontId="104" fillId="0" borderId="0" xfId="0" applyNumberFormat="1" applyFont="1" applyFill="1" applyAlignment="1">
      <alignment/>
    </xf>
    <xf numFmtId="172" fontId="104" fillId="0" borderId="24" xfId="0" applyNumberFormat="1" applyFont="1" applyFill="1" applyBorder="1" applyAlignment="1">
      <alignment/>
    </xf>
    <xf numFmtId="172" fontId="104" fillId="0" borderId="10" xfId="0" applyNumberFormat="1" applyFont="1" applyFill="1" applyBorder="1" applyAlignment="1">
      <alignment/>
    </xf>
    <xf numFmtId="172" fontId="104" fillId="0" borderId="11" xfId="0" applyNumberFormat="1" applyFont="1" applyFill="1" applyBorder="1" applyAlignment="1">
      <alignment/>
    </xf>
    <xf numFmtId="173" fontId="93" fillId="0" borderId="24" xfId="0" applyNumberFormat="1" applyFont="1" applyFill="1" applyBorder="1" applyAlignment="1">
      <alignment/>
    </xf>
    <xf numFmtId="173" fontId="93" fillId="0" borderId="10" xfId="0" applyNumberFormat="1" applyFont="1" applyFill="1" applyBorder="1" applyAlignment="1">
      <alignment/>
    </xf>
    <xf numFmtId="2" fontId="84" fillId="35" borderId="42" xfId="0" applyNumberFormat="1" applyFont="1" applyFill="1" applyBorder="1" applyAlignment="1">
      <alignment/>
    </xf>
    <xf numFmtId="0" fontId="0" fillId="35" borderId="22" xfId="0" applyFill="1" applyBorder="1" applyAlignment="1">
      <alignment/>
    </xf>
    <xf numFmtId="0" fontId="0" fillId="35" borderId="29" xfId="0" applyFill="1" applyBorder="1" applyAlignment="1">
      <alignment/>
    </xf>
    <xf numFmtId="0" fontId="0" fillId="35" borderId="42" xfId="0" applyFill="1" applyBorder="1" applyAlignment="1">
      <alignment/>
    </xf>
    <xf numFmtId="0" fontId="0" fillId="35" borderId="63" xfId="0" applyFont="1" applyFill="1" applyBorder="1" applyAlignment="1">
      <alignment/>
    </xf>
    <xf numFmtId="0" fontId="91" fillId="0" borderId="15" xfId="0" applyFont="1" applyFill="1" applyBorder="1" applyAlignment="1">
      <alignment horizontal="center"/>
    </xf>
    <xf numFmtId="0" fontId="91" fillId="0" borderId="18" xfId="0" applyFont="1" applyFill="1" applyBorder="1" applyAlignment="1">
      <alignment horizontal="center"/>
    </xf>
    <xf numFmtId="1" fontId="99" fillId="0" borderId="39" xfId="0" applyNumberFormat="1" applyFont="1" applyFill="1" applyBorder="1" applyAlignment="1">
      <alignment/>
    </xf>
    <xf numFmtId="1" fontId="99" fillId="0" borderId="23" xfId="0" applyNumberFormat="1" applyFont="1" applyFill="1" applyBorder="1" applyAlignment="1">
      <alignment/>
    </xf>
    <xf numFmtId="1" fontId="99" fillId="0" borderId="40" xfId="0" applyNumberFormat="1" applyFont="1" applyFill="1" applyBorder="1" applyAlignment="1">
      <alignment/>
    </xf>
    <xf numFmtId="1" fontId="99" fillId="0" borderId="0" xfId="0" applyNumberFormat="1" applyFont="1" applyFill="1" applyBorder="1" applyAlignment="1">
      <alignment/>
    </xf>
    <xf numFmtId="0" fontId="91" fillId="35" borderId="49" xfId="0" applyFont="1" applyFill="1" applyBorder="1" applyAlignment="1">
      <alignment horizontal="center"/>
    </xf>
    <xf numFmtId="0" fontId="104" fillId="0" borderId="17" xfId="0" applyFont="1" applyBorder="1" applyAlignment="1">
      <alignment horizontal="center"/>
    </xf>
    <xf numFmtId="2" fontId="104" fillId="0" borderId="13" xfId="0" applyNumberFormat="1" applyFont="1" applyBorder="1" applyAlignment="1">
      <alignment/>
    </xf>
    <xf numFmtId="2" fontId="104" fillId="35" borderId="13" xfId="0" applyNumberFormat="1" applyFont="1" applyFill="1" applyBorder="1" applyAlignment="1">
      <alignment/>
    </xf>
    <xf numFmtId="2" fontId="104" fillId="35" borderId="25" xfId="0" applyNumberFormat="1" applyFont="1" applyFill="1" applyBorder="1" applyAlignment="1">
      <alignment/>
    </xf>
    <xf numFmtId="172" fontId="104" fillId="0" borderId="17" xfId="0" applyNumberFormat="1" applyFont="1" applyBorder="1" applyAlignment="1">
      <alignment/>
    </xf>
    <xf numFmtId="172" fontId="104" fillId="0" borderId="13" xfId="0" applyNumberFormat="1" applyFont="1" applyBorder="1" applyAlignment="1">
      <alignment/>
    </xf>
    <xf numFmtId="172" fontId="104" fillId="0" borderId="43" xfId="0" applyNumberFormat="1" applyFont="1" applyBorder="1" applyAlignment="1">
      <alignment/>
    </xf>
    <xf numFmtId="172" fontId="104" fillId="0" borderId="66" xfId="0" applyNumberFormat="1" applyFont="1" applyBorder="1" applyAlignment="1">
      <alignment/>
    </xf>
    <xf numFmtId="0" fontId="104" fillId="0" borderId="0" xfId="0" applyFont="1" applyAlignment="1">
      <alignment/>
    </xf>
    <xf numFmtId="0" fontId="104" fillId="0" borderId="13" xfId="0" applyFont="1" applyBorder="1" applyAlignment="1">
      <alignment horizontal="right"/>
    </xf>
    <xf numFmtId="0" fontId="91" fillId="0" borderId="15" xfId="0" applyFont="1" applyFill="1" applyBorder="1" applyAlignment="1" quotePrefix="1">
      <alignment horizontal="center"/>
    </xf>
    <xf numFmtId="0" fontId="91" fillId="35" borderId="67" xfId="0" applyFont="1" applyFill="1" applyBorder="1" applyAlignment="1">
      <alignment horizontal="center"/>
    </xf>
    <xf numFmtId="0" fontId="91" fillId="35" borderId="22" xfId="0" applyFont="1" applyFill="1" applyBorder="1" applyAlignment="1">
      <alignment/>
    </xf>
    <xf numFmtId="1" fontId="84" fillId="35" borderId="49" xfId="0" applyNumberFormat="1" applyFont="1" applyFill="1" applyBorder="1" applyAlignment="1">
      <alignment/>
    </xf>
    <xf numFmtId="0" fontId="0" fillId="35" borderId="26" xfId="0" applyFill="1" applyBorder="1" applyAlignment="1">
      <alignment/>
    </xf>
    <xf numFmtId="0" fontId="0" fillId="35" borderId="27" xfId="0" applyFill="1" applyBorder="1" applyAlignment="1">
      <alignment/>
    </xf>
    <xf numFmtId="0" fontId="0" fillId="35" borderId="49" xfId="0" applyFill="1" applyBorder="1" applyAlignment="1">
      <alignment/>
    </xf>
    <xf numFmtId="0" fontId="91" fillId="35" borderId="13" xfId="0" applyFont="1" applyFill="1" applyBorder="1" applyAlignment="1">
      <alignment/>
    </xf>
    <xf numFmtId="0" fontId="0" fillId="35" borderId="13" xfId="0" applyFill="1" applyBorder="1" applyAlignment="1">
      <alignment/>
    </xf>
    <xf numFmtId="0" fontId="0" fillId="35" borderId="25" xfId="0" applyFill="1" applyBorder="1" applyAlignment="1">
      <alignment/>
    </xf>
    <xf numFmtId="0" fontId="0" fillId="35" borderId="25" xfId="0" applyFont="1" applyFill="1" applyBorder="1" applyAlignment="1">
      <alignment/>
    </xf>
    <xf numFmtId="0" fontId="0" fillId="35" borderId="47" xfId="0" applyFont="1" applyFill="1" applyBorder="1" applyAlignment="1">
      <alignment/>
    </xf>
    <xf numFmtId="0" fontId="0" fillId="0" borderId="59" xfId="0" applyBorder="1" applyAlignment="1">
      <alignment horizontal="center" vertical="center" wrapText="1"/>
    </xf>
    <xf numFmtId="1" fontId="91" fillId="35" borderId="68" xfId="0" applyNumberFormat="1" applyFont="1" applyFill="1" applyBorder="1" applyAlignment="1">
      <alignment/>
    </xf>
    <xf numFmtId="0" fontId="86" fillId="0" borderId="11" xfId="0" applyFont="1" applyFill="1" applyBorder="1" applyAlignment="1">
      <alignment/>
    </xf>
    <xf numFmtId="0" fontId="96" fillId="35" borderId="11" xfId="0" applyFont="1" applyFill="1" applyBorder="1" applyAlignment="1">
      <alignment/>
    </xf>
    <xf numFmtId="0" fontId="93" fillId="36" borderId="11" xfId="0" applyFont="1" applyFill="1" applyBorder="1" applyAlignment="1">
      <alignment/>
    </xf>
    <xf numFmtId="0" fontId="0" fillId="35" borderId="11" xfId="0" applyFont="1" applyFill="1" applyBorder="1" applyAlignment="1">
      <alignment/>
    </xf>
    <xf numFmtId="0" fontId="0" fillId="35" borderId="57" xfId="0" applyFont="1" applyFill="1" applyBorder="1" applyAlignment="1">
      <alignment/>
    </xf>
    <xf numFmtId="0" fontId="0" fillId="35" borderId="50" xfId="0" applyFont="1" applyFill="1" applyBorder="1" applyAlignment="1">
      <alignment/>
    </xf>
    <xf numFmtId="1" fontId="89" fillId="0" borderId="19" xfId="0" applyNumberFormat="1" applyFont="1" applyFill="1" applyBorder="1" applyAlignment="1">
      <alignment/>
    </xf>
    <xf numFmtId="0" fontId="0" fillId="35" borderId="66" xfId="0" applyFont="1" applyFill="1" applyBorder="1" applyAlignment="1">
      <alignment/>
    </xf>
    <xf numFmtId="0" fontId="0" fillId="0" borderId="61" xfId="0" applyBorder="1" applyAlignment="1">
      <alignment/>
    </xf>
    <xf numFmtId="2" fontId="104" fillId="0" borderId="66" xfId="0" applyNumberFormat="1" applyFont="1" applyBorder="1" applyAlignment="1">
      <alignment/>
    </xf>
    <xf numFmtId="0" fontId="84" fillId="35" borderId="10" xfId="0" applyFont="1" applyFill="1" applyBorder="1" applyAlignment="1">
      <alignment horizontal="center"/>
    </xf>
    <xf numFmtId="1" fontId="86" fillId="0" borderId="14" xfId="0" applyNumberFormat="1" applyFont="1" applyBorder="1" applyAlignment="1">
      <alignment/>
    </xf>
    <xf numFmtId="0" fontId="89" fillId="0" borderId="15" xfId="0" applyFont="1" applyBorder="1" applyAlignment="1">
      <alignment horizontal="right"/>
    </xf>
    <xf numFmtId="0" fontId="89" fillId="0" borderId="10" xfId="0" applyFont="1" applyBorder="1" applyAlignment="1">
      <alignment horizontal="left"/>
    </xf>
    <xf numFmtId="1" fontId="91" fillId="0" borderId="14" xfId="0" applyNumberFormat="1" applyFont="1" applyFill="1" applyBorder="1" applyAlignment="1">
      <alignment/>
    </xf>
    <xf numFmtId="1" fontId="84" fillId="0" borderId="48" xfId="0" applyNumberFormat="1" applyFont="1" applyFill="1" applyBorder="1" applyAlignment="1">
      <alignment/>
    </xf>
    <xf numFmtId="0" fontId="105" fillId="0" borderId="15" xfId="0" applyFont="1" applyFill="1" applyBorder="1" applyAlignment="1" quotePrefix="1">
      <alignment horizontal="center"/>
    </xf>
    <xf numFmtId="172" fontId="90" fillId="0" borderId="24" xfId="0" applyNumberFormat="1" applyFont="1" applyFill="1" applyBorder="1" applyAlignment="1">
      <alignment/>
    </xf>
    <xf numFmtId="172" fontId="105" fillId="0" borderId="48" xfId="0" applyNumberFormat="1" applyFont="1" applyFill="1" applyBorder="1" applyAlignment="1">
      <alignment/>
    </xf>
    <xf numFmtId="0" fontId="105" fillId="0" borderId="0" xfId="0" applyFont="1" applyFill="1" applyAlignment="1">
      <alignment/>
    </xf>
    <xf numFmtId="0" fontId="89" fillId="0" borderId="10" xfId="0" applyFont="1" applyBorder="1" applyAlignment="1">
      <alignment/>
    </xf>
    <xf numFmtId="1" fontId="89" fillId="0" borderId="15" xfId="0" applyNumberFormat="1" applyFont="1" applyBorder="1" applyAlignment="1">
      <alignment/>
    </xf>
    <xf numFmtId="1" fontId="89" fillId="0" borderId="10" xfId="0" applyNumberFormat="1" applyFont="1" applyFill="1" applyBorder="1" applyAlignment="1" quotePrefix="1">
      <alignment horizontal="right"/>
    </xf>
    <xf numFmtId="1" fontId="89" fillId="0" borderId="48" xfId="0" applyNumberFormat="1" applyFont="1" applyBorder="1" applyAlignment="1">
      <alignment/>
    </xf>
    <xf numFmtId="0" fontId="91" fillId="0" borderId="10" xfId="0" applyFont="1" applyFill="1" applyBorder="1" applyAlignment="1">
      <alignment/>
    </xf>
    <xf numFmtId="1" fontId="91" fillId="0" borderId="15" xfId="0" applyNumberFormat="1" applyFont="1" applyFill="1" applyBorder="1" applyAlignment="1">
      <alignment/>
    </xf>
    <xf numFmtId="2" fontId="91" fillId="0" borderId="11" xfId="0" applyNumberFormat="1" applyFont="1" applyFill="1" applyBorder="1" applyAlignment="1">
      <alignment/>
    </xf>
    <xf numFmtId="1" fontId="91" fillId="0" borderId="48" xfId="0" applyNumberFormat="1" applyFont="1" applyFill="1" applyBorder="1" applyAlignment="1">
      <alignment/>
    </xf>
    <xf numFmtId="0" fontId="105" fillId="0" borderId="10" xfId="0" applyFont="1" applyFill="1" applyBorder="1" applyAlignment="1">
      <alignment/>
    </xf>
    <xf numFmtId="2" fontId="105" fillId="0" borderId="10" xfId="0" applyNumberFormat="1" applyFont="1" applyFill="1" applyBorder="1" applyAlignment="1">
      <alignment/>
    </xf>
    <xf numFmtId="2" fontId="105" fillId="0" borderId="14" xfId="0" applyNumberFormat="1" applyFont="1" applyFill="1" applyBorder="1" applyAlignment="1">
      <alignment/>
    </xf>
    <xf numFmtId="2" fontId="105" fillId="0" borderId="15" xfId="0" applyNumberFormat="1" applyFont="1" applyFill="1" applyBorder="1" applyAlignment="1">
      <alignment/>
    </xf>
    <xf numFmtId="0" fontId="105" fillId="0" borderId="11" xfId="0" applyFont="1" applyFill="1" applyBorder="1" applyAlignment="1">
      <alignment/>
    </xf>
    <xf numFmtId="1" fontId="91" fillId="0" borderId="11" xfId="0" applyNumberFormat="1" applyFont="1" applyFill="1" applyBorder="1" applyAlignment="1">
      <alignment/>
    </xf>
    <xf numFmtId="0" fontId="86" fillId="0" borderId="10" xfId="0" applyFont="1" applyFill="1" applyBorder="1" applyAlignment="1">
      <alignment horizontal="left"/>
    </xf>
    <xf numFmtId="1" fontId="86" fillId="0" borderId="11" xfId="0" applyNumberFormat="1" applyFont="1" applyFill="1" applyBorder="1" applyAlignment="1">
      <alignment/>
    </xf>
    <xf numFmtId="1" fontId="86" fillId="0" borderId="0" xfId="0" applyNumberFormat="1" applyFont="1" applyFill="1" applyAlignment="1">
      <alignment/>
    </xf>
    <xf numFmtId="1" fontId="86" fillId="0" borderId="0" xfId="0" applyNumberFormat="1" applyFont="1" applyFill="1" applyBorder="1" applyAlignment="1">
      <alignment/>
    </xf>
    <xf numFmtId="1" fontId="89" fillId="0" borderId="10" xfId="0" applyNumberFormat="1" applyFont="1" applyFill="1" applyBorder="1" applyAlignment="1">
      <alignment/>
    </xf>
    <xf numFmtId="1" fontId="89" fillId="0" borderId="14" xfId="0" applyNumberFormat="1" applyFont="1" applyFill="1" applyBorder="1" applyAlignment="1">
      <alignment/>
    </xf>
    <xf numFmtId="1" fontId="86" fillId="0" borderId="15" xfId="0" applyNumberFormat="1" applyFont="1" applyFill="1" applyBorder="1" applyAlignment="1">
      <alignment/>
    </xf>
    <xf numFmtId="1" fontId="84" fillId="35" borderId="12" xfId="0" applyNumberFormat="1" applyFont="1" applyFill="1" applyBorder="1" applyAlignment="1">
      <alignment horizontal="right"/>
    </xf>
    <xf numFmtId="1" fontId="91" fillId="35" borderId="10" xfId="0" applyNumberFormat="1" applyFont="1" applyFill="1" applyBorder="1" applyAlignment="1" quotePrefix="1">
      <alignment horizontal="right"/>
    </xf>
    <xf numFmtId="1" fontId="0" fillId="35" borderId="10" xfId="0" applyNumberFormat="1" applyFont="1" applyFill="1" applyBorder="1" applyAlignment="1" quotePrefix="1">
      <alignment horizontal="right"/>
    </xf>
    <xf numFmtId="1" fontId="0" fillId="0" borderId="14" xfId="0" applyNumberFormat="1" applyFill="1" applyBorder="1" applyAlignment="1">
      <alignment/>
    </xf>
    <xf numFmtId="0" fontId="86" fillId="0" borderId="69" xfId="0" applyFont="1" applyBorder="1" applyAlignment="1">
      <alignment horizontal="right"/>
    </xf>
    <xf numFmtId="1" fontId="86" fillId="0" borderId="10" xfId="0" applyNumberFormat="1" applyFont="1" applyBorder="1" applyAlignment="1">
      <alignment horizontal="left"/>
    </xf>
    <xf numFmtId="1" fontId="86" fillId="0" borderId="10" xfId="0" applyNumberFormat="1" applyFont="1" applyBorder="1" applyAlignment="1">
      <alignment horizontal="right"/>
    </xf>
    <xf numFmtId="1" fontId="89" fillId="0" borderId="10" xfId="0" applyNumberFormat="1" applyFont="1" applyBorder="1" applyAlignment="1">
      <alignment horizontal="right"/>
    </xf>
    <xf numFmtId="1" fontId="89" fillId="0" borderId="14" xfId="0" applyNumberFormat="1" applyFont="1" applyBorder="1" applyAlignment="1">
      <alignment horizontal="right"/>
    </xf>
    <xf numFmtId="1" fontId="86" fillId="0" borderId="14" xfId="0" applyNumberFormat="1" applyFont="1" applyBorder="1" applyAlignment="1">
      <alignment horizontal="right"/>
    </xf>
    <xf numFmtId="0" fontId="0" fillId="0" borderId="14" xfId="0" applyFont="1" applyBorder="1" applyAlignment="1">
      <alignment/>
    </xf>
    <xf numFmtId="0" fontId="92" fillId="0" borderId="34" xfId="0" applyFont="1" applyBorder="1" applyAlignment="1">
      <alignment horizontal="left"/>
    </xf>
    <xf numFmtId="0" fontId="92" fillId="0" borderId="36" xfId="0" applyFont="1" applyFill="1" applyBorder="1" applyAlignment="1">
      <alignment/>
    </xf>
    <xf numFmtId="1" fontId="91" fillId="0" borderId="10" xfId="0" applyNumberFormat="1" applyFont="1" applyBorder="1" applyAlignment="1">
      <alignment/>
    </xf>
    <xf numFmtId="0" fontId="92" fillId="0" borderId="15" xfId="0" applyFont="1" applyFill="1" applyBorder="1" applyAlignment="1">
      <alignment horizontal="center"/>
    </xf>
    <xf numFmtId="0" fontId="86" fillId="0" borderId="0" xfId="0" applyFont="1" applyFill="1" applyAlignment="1">
      <alignment horizontal="right"/>
    </xf>
    <xf numFmtId="0" fontId="93" fillId="35" borderId="15" xfId="0" applyFont="1" applyFill="1" applyBorder="1" applyAlignment="1">
      <alignment horizontal="center"/>
    </xf>
    <xf numFmtId="0" fontId="104" fillId="0" borderId="0" xfId="0" applyFont="1" applyFill="1" applyBorder="1" applyAlignment="1">
      <alignment/>
    </xf>
    <xf numFmtId="2" fontId="86" fillId="0" borderId="14" xfId="0" applyNumberFormat="1" applyFont="1" applyFill="1" applyBorder="1" applyAlignment="1">
      <alignment/>
    </xf>
    <xf numFmtId="0" fontId="0" fillId="0" borderId="10" xfId="0" applyFont="1" applyBorder="1" applyAlignment="1">
      <alignment wrapText="1"/>
    </xf>
    <xf numFmtId="0" fontId="0" fillId="35" borderId="10" xfId="0" applyFont="1" applyFill="1" applyBorder="1" applyAlignment="1">
      <alignment wrapText="1"/>
    </xf>
    <xf numFmtId="0" fontId="91" fillId="35" borderId="10" xfId="0" applyFont="1" applyFill="1" applyBorder="1" applyAlignment="1">
      <alignment wrapText="1"/>
    </xf>
    <xf numFmtId="0" fontId="93" fillId="35" borderId="10" xfId="0" applyFont="1" applyFill="1" applyBorder="1" applyAlignment="1">
      <alignment wrapText="1"/>
    </xf>
    <xf numFmtId="1" fontId="93" fillId="35" borderId="10" xfId="0" applyNumberFormat="1" applyFont="1" applyFill="1" applyBorder="1" applyAlignment="1">
      <alignment/>
    </xf>
    <xf numFmtId="0" fontId="92" fillId="0" borderId="10" xfId="0" applyFont="1" applyFill="1" applyBorder="1" applyAlignment="1">
      <alignment wrapText="1"/>
    </xf>
    <xf numFmtId="1" fontId="92" fillId="0" borderId="10" xfId="0" applyNumberFormat="1" applyFont="1" applyFill="1" applyBorder="1" applyAlignment="1">
      <alignment/>
    </xf>
    <xf numFmtId="0" fontId="84" fillId="0" borderId="10" xfId="0" applyFont="1" applyBorder="1" applyAlignment="1">
      <alignment wrapText="1"/>
    </xf>
    <xf numFmtId="0" fontId="0" fillId="35" borderId="10" xfId="0" applyFill="1" applyBorder="1" applyAlignment="1">
      <alignment wrapText="1"/>
    </xf>
    <xf numFmtId="0" fontId="84" fillId="0" borderId="10" xfId="0" applyFont="1" applyFill="1" applyBorder="1" applyAlignment="1">
      <alignment wrapText="1"/>
    </xf>
    <xf numFmtId="0" fontId="91" fillId="33" borderId="15" xfId="0" applyFont="1" applyFill="1" applyBorder="1" applyAlignment="1">
      <alignment horizontal="center"/>
    </xf>
    <xf numFmtId="0" fontId="91" fillId="33" borderId="10" xfId="0" applyFont="1" applyFill="1" applyBorder="1" applyAlignment="1">
      <alignment/>
    </xf>
    <xf numFmtId="1" fontId="91" fillId="33" borderId="10" xfId="0" applyNumberFormat="1" applyFont="1" applyFill="1" applyBorder="1" applyAlignment="1">
      <alignment horizontal="center"/>
    </xf>
    <xf numFmtId="1" fontId="105" fillId="0" borderId="10" xfId="0" applyNumberFormat="1" applyFont="1" applyFill="1" applyBorder="1" applyAlignment="1">
      <alignment/>
    </xf>
    <xf numFmtId="0" fontId="105" fillId="0" borderId="0" xfId="0" applyFont="1" applyFill="1" applyBorder="1" applyAlignment="1">
      <alignment/>
    </xf>
    <xf numFmtId="0" fontId="105" fillId="0" borderId="10" xfId="0" applyFont="1" applyFill="1" applyBorder="1" applyAlignment="1">
      <alignment wrapText="1"/>
    </xf>
    <xf numFmtId="0" fontId="105" fillId="0" borderId="10" xfId="0" applyFont="1" applyFill="1" applyBorder="1" applyAlignment="1">
      <alignment horizontal="left"/>
    </xf>
    <xf numFmtId="0" fontId="89" fillId="0" borderId="10" xfId="0" applyFont="1" applyFill="1" applyBorder="1" applyAlignment="1">
      <alignment/>
    </xf>
    <xf numFmtId="1" fontId="86" fillId="0" borderId="10" xfId="0" applyNumberFormat="1" applyFont="1" applyFill="1" applyBorder="1" applyAlignment="1">
      <alignment/>
    </xf>
    <xf numFmtId="0" fontId="89" fillId="0" borderId="15" xfId="0" applyFont="1" applyFill="1" applyBorder="1" applyAlignment="1">
      <alignment horizontal="center"/>
    </xf>
    <xf numFmtId="0" fontId="86" fillId="0" borderId="0" xfId="0" applyFont="1" applyFill="1" applyBorder="1" applyAlignment="1">
      <alignment horizontal="right"/>
    </xf>
    <xf numFmtId="0" fontId="89" fillId="0" borderId="10" xfId="0" applyFont="1" applyFill="1" applyBorder="1" applyAlignment="1">
      <alignment horizontal="left"/>
    </xf>
    <xf numFmtId="1" fontId="89" fillId="0" borderId="10" xfId="0" applyNumberFormat="1" applyFont="1" applyFill="1" applyBorder="1" applyAlignment="1">
      <alignment horizontal="right"/>
    </xf>
    <xf numFmtId="1" fontId="86" fillId="0" borderId="10" xfId="0" applyNumberFormat="1" applyFont="1" applyFill="1" applyBorder="1" applyAlignment="1">
      <alignment horizontal="right"/>
    </xf>
    <xf numFmtId="0" fontId="89" fillId="0" borderId="14" xfId="0" applyFont="1" applyBorder="1" applyAlignment="1">
      <alignment/>
    </xf>
    <xf numFmtId="0" fontId="91" fillId="35" borderId="22" xfId="0" applyFont="1" applyFill="1" applyBorder="1" applyAlignment="1">
      <alignment horizontal="left"/>
    </xf>
    <xf numFmtId="1" fontId="99" fillId="35" borderId="22" xfId="0" applyNumberFormat="1" applyFont="1" applyFill="1" applyBorder="1" applyAlignment="1">
      <alignment/>
    </xf>
    <xf numFmtId="1" fontId="99" fillId="35" borderId="29" xfId="0" applyNumberFormat="1" applyFont="1" applyFill="1" applyBorder="1" applyAlignment="1">
      <alignment/>
    </xf>
    <xf numFmtId="0" fontId="0" fillId="0" borderId="0" xfId="0" applyNumberFormat="1" applyFill="1" applyBorder="1" applyAlignment="1">
      <alignment horizontal="left"/>
    </xf>
    <xf numFmtId="0" fontId="0" fillId="0" borderId="18" xfId="0" applyNumberFormat="1" applyFill="1" applyBorder="1" applyAlignment="1">
      <alignment horizontal="left"/>
    </xf>
    <xf numFmtId="0" fontId="0" fillId="0" borderId="56" xfId="0" applyNumberFormat="1" applyFill="1" applyBorder="1" applyAlignment="1">
      <alignment horizontal="left"/>
    </xf>
    <xf numFmtId="1" fontId="84" fillId="35" borderId="63" xfId="0" applyNumberFormat="1" applyFont="1" applyFill="1" applyBorder="1" applyAlignment="1">
      <alignment/>
    </xf>
    <xf numFmtId="1" fontId="89" fillId="0" borderId="48" xfId="0" applyNumberFormat="1" applyFont="1" applyFill="1" applyBorder="1" applyAlignment="1">
      <alignment/>
    </xf>
    <xf numFmtId="0" fontId="0" fillId="35" borderId="46" xfId="0" applyFont="1" applyFill="1" applyBorder="1" applyAlignment="1">
      <alignment/>
    </xf>
    <xf numFmtId="0" fontId="0" fillId="0" borderId="70" xfId="0" applyFill="1" applyBorder="1" applyAlignment="1">
      <alignment wrapText="1"/>
    </xf>
    <xf numFmtId="0" fontId="0" fillId="0" borderId="24" xfId="0" applyNumberFormat="1" applyFill="1" applyBorder="1" applyAlignment="1">
      <alignment/>
    </xf>
    <xf numFmtId="0" fontId="0" fillId="33" borderId="24" xfId="0" applyNumberFormat="1" applyFill="1" applyBorder="1" applyAlignment="1">
      <alignment/>
    </xf>
    <xf numFmtId="1" fontId="0" fillId="33" borderId="24" xfId="0" applyNumberFormat="1" applyFill="1" applyBorder="1" applyAlignment="1">
      <alignment/>
    </xf>
    <xf numFmtId="0" fontId="0" fillId="33" borderId="35" xfId="0" applyFill="1" applyBorder="1" applyAlignment="1">
      <alignment/>
    </xf>
    <xf numFmtId="0" fontId="0" fillId="0" borderId="10" xfId="0" applyBorder="1" applyAlignment="1" quotePrefix="1">
      <alignment horizontal="left"/>
    </xf>
    <xf numFmtId="0" fontId="0" fillId="0" borderId="13" xfId="0" applyBorder="1" applyAlignment="1" quotePrefix="1">
      <alignment horizontal="left"/>
    </xf>
    <xf numFmtId="1" fontId="92" fillId="0" borderId="48" xfId="0" applyNumberFormat="1" applyFont="1" applyFill="1" applyBorder="1" applyAlignment="1">
      <alignment/>
    </xf>
    <xf numFmtId="1" fontId="91" fillId="33" borderId="14" xfId="0" applyNumberFormat="1" applyFont="1" applyFill="1" applyBorder="1" applyAlignment="1">
      <alignment horizontal="center"/>
    </xf>
    <xf numFmtId="1" fontId="89" fillId="0" borderId="14" xfId="0" applyNumberFormat="1" applyFont="1" applyFill="1" applyBorder="1" applyAlignment="1">
      <alignment horizontal="right"/>
    </xf>
    <xf numFmtId="1" fontId="86" fillId="0" borderId="14" xfId="0" applyNumberFormat="1" applyFont="1" applyFill="1" applyBorder="1" applyAlignment="1">
      <alignment horizontal="right"/>
    </xf>
    <xf numFmtId="1" fontId="91" fillId="35" borderId="14" xfId="0" applyNumberFormat="1" applyFont="1" applyFill="1" applyBorder="1" applyAlignment="1" quotePrefix="1">
      <alignment horizontal="right"/>
    </xf>
    <xf numFmtId="1" fontId="86" fillId="0" borderId="14" xfId="0" applyNumberFormat="1" applyFont="1" applyFill="1" applyBorder="1" applyAlignment="1">
      <alignment/>
    </xf>
    <xf numFmtId="0" fontId="91" fillId="35" borderId="32" xfId="0" applyFont="1" applyFill="1" applyBorder="1" applyAlignment="1">
      <alignment horizontal="left"/>
    </xf>
    <xf numFmtId="1" fontId="99" fillId="35" borderId="32" xfId="0" applyNumberFormat="1" applyFont="1" applyFill="1" applyBorder="1" applyAlignment="1">
      <alignment/>
    </xf>
    <xf numFmtId="1" fontId="99" fillId="35" borderId="71" xfId="0" applyNumberFormat="1" applyFont="1" applyFill="1" applyBorder="1" applyAlignment="1">
      <alignment/>
    </xf>
    <xf numFmtId="0" fontId="0" fillId="0" borderId="15" xfId="0" applyFont="1" applyBorder="1" applyAlignment="1">
      <alignment horizontal="center"/>
    </xf>
    <xf numFmtId="0" fontId="0" fillId="35" borderId="15" xfId="0" applyFont="1" applyFill="1" applyBorder="1" applyAlignment="1">
      <alignment horizontal="center"/>
    </xf>
    <xf numFmtId="1" fontId="0" fillId="35" borderId="14" xfId="0" applyNumberFormat="1" applyFont="1" applyFill="1" applyBorder="1" applyAlignment="1">
      <alignment/>
    </xf>
    <xf numFmtId="0" fontId="105" fillId="0" borderId="15" xfId="0" applyFont="1" applyFill="1" applyBorder="1" applyAlignment="1">
      <alignment horizontal="right"/>
    </xf>
    <xf numFmtId="1" fontId="105" fillId="0" borderId="14" xfId="0" applyNumberFormat="1" applyFont="1" applyFill="1" applyBorder="1" applyAlignment="1">
      <alignment/>
    </xf>
    <xf numFmtId="1" fontId="93" fillId="35" borderId="14" xfId="0" applyNumberFormat="1" applyFont="1" applyFill="1" applyBorder="1" applyAlignment="1">
      <alignment/>
    </xf>
    <xf numFmtId="1" fontId="92" fillId="0" borderId="14" xfId="0" applyNumberFormat="1" applyFont="1" applyFill="1" applyBorder="1" applyAlignment="1">
      <alignment/>
    </xf>
    <xf numFmtId="0" fontId="0" fillId="35" borderId="13" xfId="0" applyFill="1" applyBorder="1" applyAlignment="1">
      <alignment wrapText="1"/>
    </xf>
    <xf numFmtId="0" fontId="84" fillId="35" borderId="10" xfId="0" applyFont="1" applyFill="1" applyBorder="1" applyAlignment="1">
      <alignment horizontal="left"/>
    </xf>
    <xf numFmtId="1" fontId="84" fillId="0" borderId="24" xfId="0" applyNumberFormat="1" applyFont="1" applyFill="1" applyBorder="1" applyAlignment="1">
      <alignment/>
    </xf>
    <xf numFmtId="1" fontId="84" fillId="0" borderId="24" xfId="0" applyNumberFormat="1" applyFont="1" applyBorder="1" applyAlignment="1">
      <alignment/>
    </xf>
    <xf numFmtId="1" fontId="84" fillId="0" borderId="18" xfId="0" applyNumberFormat="1" applyFont="1" applyFill="1" applyBorder="1" applyAlignment="1">
      <alignment/>
    </xf>
    <xf numFmtId="1" fontId="84" fillId="0" borderId="56" xfId="0" applyNumberFormat="1" applyFont="1" applyFill="1" applyBorder="1" applyAlignment="1">
      <alignment/>
    </xf>
    <xf numFmtId="0" fontId="84" fillId="35" borderId="15" xfId="0" applyFont="1" applyFill="1" applyBorder="1" applyAlignment="1" quotePrefix="1">
      <alignment horizontal="center"/>
    </xf>
    <xf numFmtId="0" fontId="84" fillId="35" borderId="19" xfId="0" applyNumberFormat="1" applyFont="1" applyFill="1" applyBorder="1" applyAlignment="1">
      <alignment/>
    </xf>
    <xf numFmtId="0" fontId="84" fillId="0" borderId="10" xfId="0" applyFont="1" applyFill="1" applyBorder="1" applyAlignment="1">
      <alignment horizontal="left"/>
    </xf>
    <xf numFmtId="0" fontId="84" fillId="0" borderId="15" xfId="0" applyFont="1" applyFill="1" applyBorder="1" applyAlignment="1">
      <alignment horizontal="center"/>
    </xf>
    <xf numFmtId="0" fontId="84" fillId="0" borderId="10" xfId="0" applyFont="1" applyBorder="1" applyAlignment="1">
      <alignment horizontal="left"/>
    </xf>
    <xf numFmtId="0" fontId="84" fillId="0" borderId="10" xfId="0" applyFont="1" applyFill="1" applyBorder="1" applyAlignment="1">
      <alignment/>
    </xf>
    <xf numFmtId="1" fontId="84" fillId="0" borderId="12" xfId="0" applyNumberFormat="1" applyFont="1" applyFill="1" applyBorder="1" applyAlignment="1">
      <alignment/>
    </xf>
    <xf numFmtId="0" fontId="84" fillId="0" borderId="13" xfId="0" applyFont="1" applyFill="1" applyBorder="1" applyAlignment="1">
      <alignment/>
    </xf>
    <xf numFmtId="0" fontId="89" fillId="35" borderId="15" xfId="0" applyFont="1" applyFill="1" applyBorder="1" applyAlignment="1" quotePrefix="1">
      <alignment horizontal="center"/>
    </xf>
    <xf numFmtId="0" fontId="84" fillId="35" borderId="10" xfId="0" applyFont="1" applyFill="1" applyBorder="1" applyAlignment="1" quotePrefix="1">
      <alignment horizontal="left"/>
    </xf>
    <xf numFmtId="0" fontId="0" fillId="0" borderId="0" xfId="0" applyAlignment="1">
      <alignment/>
    </xf>
    <xf numFmtId="0" fontId="0" fillId="0" borderId="0" xfId="0" applyAlignment="1">
      <alignment horizontal="center" vertical="center" wrapText="1"/>
    </xf>
    <xf numFmtId="0" fontId="84" fillId="0" borderId="0" xfId="0" applyFont="1" applyAlignment="1">
      <alignment horizontal="center" vertical="center" wrapText="1"/>
    </xf>
    <xf numFmtId="0" fontId="106" fillId="0" borderId="0" xfId="0" applyFont="1" applyAlignment="1">
      <alignment horizontal="center" vertical="center"/>
    </xf>
    <xf numFmtId="0" fontId="0" fillId="35" borderId="10" xfId="0" applyFill="1" applyBorder="1" applyAlignment="1">
      <alignment horizontal="center" vertical="center" wrapText="1"/>
    </xf>
    <xf numFmtId="0" fontId="87" fillId="0" borderId="10" xfId="0" applyFont="1" applyBorder="1" applyAlignment="1">
      <alignment horizontal="center" vertical="center" wrapText="1"/>
    </xf>
    <xf numFmtId="0" fontId="92" fillId="0" borderId="10" xfId="0" applyFont="1" applyBorder="1" applyAlignment="1">
      <alignment horizontal="center" vertical="center" wrapText="1"/>
    </xf>
    <xf numFmtId="0" fontId="92" fillId="0" borderId="0" xfId="0" applyFont="1" applyAlignment="1">
      <alignment horizontal="center" vertical="center" wrapText="1"/>
    </xf>
    <xf numFmtId="0" fontId="107" fillId="0" borderId="10" xfId="0" applyFont="1" applyBorder="1" applyAlignment="1">
      <alignment horizontal="center" vertical="center" wrapText="1"/>
    </xf>
    <xf numFmtId="0" fontId="107" fillId="0" borderId="0" xfId="0" applyFont="1" applyAlignment="1">
      <alignment horizontal="center" vertical="center" wrapText="1"/>
    </xf>
    <xf numFmtId="0" fontId="96" fillId="0" borderId="0" xfId="0" applyFont="1" applyAlignment="1">
      <alignment horizontal="center" vertical="top"/>
    </xf>
    <xf numFmtId="0" fontId="0" fillId="0" borderId="10" xfId="0" applyBorder="1" applyAlignment="1">
      <alignment horizontal="center" vertical="center" wrapText="1"/>
    </xf>
    <xf numFmtId="0" fontId="89" fillId="0" borderId="10" xfId="0" applyFont="1" applyFill="1" applyBorder="1" applyAlignment="1">
      <alignment wrapText="1"/>
    </xf>
    <xf numFmtId="1" fontId="89" fillId="33" borderId="10" xfId="0" applyNumberFormat="1" applyFont="1" applyFill="1" applyBorder="1" applyAlignment="1">
      <alignment horizontal="center"/>
    </xf>
    <xf numFmtId="1" fontId="89" fillId="0" borderId="0" xfId="0" applyNumberFormat="1" applyFont="1" applyFill="1" applyBorder="1" applyAlignment="1">
      <alignment/>
    </xf>
    <xf numFmtId="0" fontId="89" fillId="33" borderId="15" xfId="0" applyFont="1" applyFill="1" applyBorder="1" applyAlignment="1">
      <alignment horizontal="center"/>
    </xf>
    <xf numFmtId="1" fontId="89" fillId="33" borderId="14" xfId="0" applyNumberFormat="1" applyFont="1" applyFill="1" applyBorder="1" applyAlignment="1">
      <alignment horizontal="center"/>
    </xf>
    <xf numFmtId="0" fontId="0" fillId="35" borderId="17" xfId="0" applyFill="1" applyBorder="1" applyAlignment="1">
      <alignment horizontal="center"/>
    </xf>
    <xf numFmtId="0" fontId="91" fillId="35" borderId="26" xfId="0" applyFont="1" applyFill="1" applyBorder="1" applyAlignment="1">
      <alignment horizontal="center"/>
    </xf>
    <xf numFmtId="0" fontId="0" fillId="0" borderId="11" xfId="0" applyFill="1" applyBorder="1" applyAlignment="1">
      <alignment wrapText="1"/>
    </xf>
    <xf numFmtId="0" fontId="0" fillId="0" borderId="11" xfId="0" applyNumberFormat="1" applyFill="1" applyBorder="1" applyAlignment="1">
      <alignment wrapText="1"/>
    </xf>
    <xf numFmtId="0" fontId="91" fillId="35" borderId="57" xfId="0" applyFont="1" applyFill="1" applyBorder="1" applyAlignment="1">
      <alignment/>
    </xf>
    <xf numFmtId="0" fontId="91" fillId="35" borderId="43" xfId="0" applyFont="1" applyFill="1" applyBorder="1" applyAlignment="1">
      <alignment/>
    </xf>
    <xf numFmtId="1" fontId="91" fillId="35" borderId="13" xfId="0" applyNumberFormat="1" applyFont="1" applyFill="1" applyBorder="1" applyAlignment="1">
      <alignment/>
    </xf>
    <xf numFmtId="0" fontId="91" fillId="35" borderId="11" xfId="0" applyFont="1" applyFill="1" applyBorder="1" applyAlignment="1">
      <alignment/>
    </xf>
    <xf numFmtId="0" fontId="84" fillId="35" borderId="11" xfId="0" applyFont="1" applyFill="1" applyBorder="1" applyAlignment="1">
      <alignment/>
    </xf>
    <xf numFmtId="0" fontId="0" fillId="0" borderId="0" xfId="0" applyFill="1" applyBorder="1" applyAlignment="1">
      <alignment horizontal="left"/>
    </xf>
    <xf numFmtId="0" fontId="0" fillId="0" borderId="11" xfId="0" applyBorder="1" applyAlignment="1">
      <alignment horizontal="left"/>
    </xf>
    <xf numFmtId="0" fontId="0" fillId="0" borderId="11" xfId="0" applyFill="1" applyBorder="1" applyAlignment="1">
      <alignment horizontal="left"/>
    </xf>
    <xf numFmtId="0" fontId="0" fillId="0" borderId="43" xfId="0" applyFill="1" applyBorder="1" applyAlignment="1">
      <alignment horizontal="left"/>
    </xf>
    <xf numFmtId="0" fontId="84" fillId="35" borderId="10" xfId="0" applyFont="1" applyFill="1" applyBorder="1" applyAlignment="1">
      <alignment horizontal="left"/>
    </xf>
    <xf numFmtId="0" fontId="84" fillId="35" borderId="22" xfId="0" applyFont="1" applyFill="1" applyBorder="1" applyAlignment="1">
      <alignment horizontal="center" vertical="center" wrapText="1"/>
    </xf>
    <xf numFmtId="0" fontId="0" fillId="0" borderId="10" xfId="0" applyBorder="1" applyAlignment="1">
      <alignment horizontal="center" vertical="center" wrapText="1"/>
    </xf>
    <xf numFmtId="1" fontId="0" fillId="0" borderId="11" xfId="0" applyNumberFormat="1" applyFont="1" applyBorder="1" applyAlignment="1">
      <alignment/>
    </xf>
    <xf numFmtId="1" fontId="91" fillId="35" borderId="13" xfId="0" applyNumberFormat="1" applyFont="1" applyFill="1" applyBorder="1" applyAlignment="1">
      <alignment/>
    </xf>
    <xf numFmtId="0" fontId="92" fillId="0" borderId="10" xfId="0" applyFont="1" applyFill="1" applyBorder="1" applyAlignment="1">
      <alignment/>
    </xf>
    <xf numFmtId="1" fontId="92" fillId="0" borderId="15" xfId="0" applyNumberFormat="1" applyFont="1" applyFill="1" applyBorder="1" applyAlignment="1">
      <alignment/>
    </xf>
    <xf numFmtId="2" fontId="92" fillId="0" borderId="11" xfId="0" applyNumberFormat="1" applyFont="1" applyFill="1" applyBorder="1" applyAlignment="1">
      <alignment/>
    </xf>
    <xf numFmtId="0" fontId="0" fillId="0" borderId="15" xfId="0" applyNumberFormat="1" applyFill="1" applyBorder="1" applyAlignment="1">
      <alignment horizontal="left"/>
    </xf>
    <xf numFmtId="0" fontId="0" fillId="0" borderId="10" xfId="0" applyNumberFormat="1" applyFill="1" applyBorder="1" applyAlignment="1">
      <alignment horizontal="left"/>
    </xf>
    <xf numFmtId="0" fontId="0" fillId="0" borderId="14" xfId="0" applyNumberFormat="1" applyFill="1" applyBorder="1" applyAlignment="1">
      <alignment horizontal="left"/>
    </xf>
    <xf numFmtId="0" fontId="108" fillId="0" borderId="53" xfId="0" applyFont="1" applyBorder="1" applyAlignment="1">
      <alignment horizontal="center" vertical="center" wrapText="1"/>
    </xf>
    <xf numFmtId="0" fontId="108" fillId="0" borderId="70" xfId="0" applyFont="1" applyBorder="1" applyAlignment="1">
      <alignment horizontal="center" vertical="center" wrapText="1"/>
    </xf>
    <xf numFmtId="0" fontId="108" fillId="0" borderId="18" xfId="0" applyFont="1" applyBorder="1" applyAlignment="1">
      <alignment horizontal="center" vertical="center" wrapText="1"/>
    </xf>
    <xf numFmtId="0" fontId="108" fillId="0" borderId="39" xfId="0" applyFont="1" applyBorder="1" applyAlignment="1">
      <alignment horizontal="center" vertical="center" wrapText="1"/>
    </xf>
    <xf numFmtId="0" fontId="108" fillId="0" borderId="34" xfId="0" applyFont="1" applyBorder="1" applyAlignment="1">
      <alignment horizontal="center" vertical="center" wrapText="1"/>
    </xf>
    <xf numFmtId="0" fontId="108" fillId="0" borderId="72" xfId="0" applyFont="1" applyBorder="1" applyAlignment="1">
      <alignment horizontal="center" vertical="center" wrapText="1"/>
    </xf>
    <xf numFmtId="0" fontId="84" fillId="35" borderId="45" xfId="0" applyFont="1" applyFill="1" applyBorder="1" applyAlignment="1">
      <alignment horizontal="center" vertical="center" wrapText="1"/>
    </xf>
    <xf numFmtId="0" fontId="84" fillId="35" borderId="73" xfId="0" applyFont="1" applyFill="1" applyBorder="1" applyAlignment="1">
      <alignment horizontal="center" vertical="center" wrapText="1"/>
    </xf>
    <xf numFmtId="0" fontId="84" fillId="35" borderId="71" xfId="0" applyFont="1" applyFill="1" applyBorder="1" applyAlignment="1">
      <alignment horizontal="center" vertical="center" wrapText="1"/>
    </xf>
    <xf numFmtId="0" fontId="84" fillId="0" borderId="50" xfId="0" applyFont="1" applyBorder="1" applyAlignment="1">
      <alignment horizontal="center"/>
    </xf>
    <xf numFmtId="0" fontId="84" fillId="0" borderId="58" xfId="0" applyFont="1" applyBorder="1" applyAlignment="1">
      <alignment horizontal="center"/>
    </xf>
    <xf numFmtId="0" fontId="84" fillId="0" borderId="49" xfId="0" applyFont="1" applyBorder="1" applyAlignment="1">
      <alignment horizontal="center"/>
    </xf>
    <xf numFmtId="0" fontId="84" fillId="35" borderId="74" xfId="0" applyFont="1" applyFill="1" applyBorder="1" applyAlignment="1">
      <alignment horizontal="center" vertical="center" wrapText="1"/>
    </xf>
    <xf numFmtId="0" fontId="84" fillId="35" borderId="40" xfId="0" applyFont="1" applyFill="1" applyBorder="1" applyAlignment="1">
      <alignment horizontal="center" vertical="center" wrapText="1"/>
    </xf>
    <xf numFmtId="0" fontId="87" fillId="35" borderId="75" xfId="0" applyFont="1" applyFill="1" applyBorder="1" applyAlignment="1">
      <alignment horizontal="left"/>
    </xf>
    <xf numFmtId="0" fontId="87" fillId="35" borderId="21" xfId="0" applyFont="1" applyFill="1" applyBorder="1" applyAlignment="1">
      <alignment horizontal="left"/>
    </xf>
    <xf numFmtId="0" fontId="87" fillId="35" borderId="45" xfId="0" applyFont="1" applyFill="1" applyBorder="1" applyAlignment="1">
      <alignment horizontal="left"/>
    </xf>
    <xf numFmtId="0" fontId="84" fillId="35" borderId="46" xfId="0" applyFont="1" applyFill="1" applyBorder="1" applyAlignment="1">
      <alignment horizontal="center" vertical="center" wrapText="1"/>
    </xf>
    <xf numFmtId="0" fontId="84" fillId="35" borderId="63" xfId="0" applyFont="1" applyFill="1" applyBorder="1" applyAlignment="1">
      <alignment horizontal="center" vertical="center" wrapText="1"/>
    </xf>
    <xf numFmtId="0" fontId="84" fillId="0" borderId="76" xfId="0" applyFont="1" applyBorder="1" applyAlignment="1">
      <alignment horizontal="center"/>
    </xf>
    <xf numFmtId="0" fontId="87" fillId="35" borderId="11" xfId="0" applyFont="1" applyFill="1" applyBorder="1" applyAlignment="1">
      <alignment horizontal="left"/>
    </xf>
    <xf numFmtId="0" fontId="87" fillId="35" borderId="59" xfId="0" applyFont="1" applyFill="1" applyBorder="1" applyAlignment="1">
      <alignment horizontal="left"/>
    </xf>
    <xf numFmtId="0" fontId="87" fillId="35" borderId="24" xfId="0" applyFont="1" applyFill="1" applyBorder="1" applyAlignment="1">
      <alignment horizontal="left"/>
    </xf>
    <xf numFmtId="0" fontId="91" fillId="35" borderId="53" xfId="0" applyFont="1" applyFill="1" applyBorder="1" applyAlignment="1">
      <alignment horizontal="left"/>
    </xf>
    <xf numFmtId="0" fontId="91" fillId="35" borderId="54" xfId="0" applyFont="1" applyFill="1" applyBorder="1" applyAlignment="1" quotePrefix="1">
      <alignment horizontal="left"/>
    </xf>
    <xf numFmtId="0" fontId="91" fillId="35" borderId="55" xfId="0" applyFont="1" applyFill="1" applyBorder="1" applyAlignment="1" quotePrefix="1">
      <alignment horizontal="left"/>
    </xf>
    <xf numFmtId="0" fontId="91" fillId="35" borderId="76" xfId="0" applyFont="1" applyFill="1" applyBorder="1" applyAlignment="1" quotePrefix="1">
      <alignment horizontal="left"/>
    </xf>
    <xf numFmtId="0" fontId="91" fillId="35" borderId="58" xfId="0" applyFont="1" applyFill="1" applyBorder="1" applyAlignment="1" quotePrefix="1">
      <alignment horizontal="left"/>
    </xf>
    <xf numFmtId="0" fontId="91" fillId="35" borderId="51" xfId="0" applyFont="1" applyFill="1" applyBorder="1" applyAlignment="1" quotePrefix="1">
      <alignment horizontal="left"/>
    </xf>
    <xf numFmtId="0" fontId="84" fillId="35" borderId="15" xfId="0" applyFont="1" applyFill="1" applyBorder="1" applyAlignment="1">
      <alignment horizontal="left"/>
    </xf>
    <xf numFmtId="0" fontId="84" fillId="35" borderId="10" xfId="0" applyFont="1" applyFill="1" applyBorder="1" applyAlignment="1">
      <alignment horizontal="left"/>
    </xf>
    <xf numFmtId="0" fontId="84" fillId="35" borderId="14" xfId="0" applyFont="1" applyFill="1" applyBorder="1" applyAlignment="1">
      <alignment horizontal="left"/>
    </xf>
    <xf numFmtId="0" fontId="108" fillId="0" borderId="76" xfId="0" applyFont="1" applyBorder="1" applyAlignment="1">
      <alignment horizontal="center" vertical="center" wrapText="1"/>
    </xf>
    <xf numFmtId="0" fontId="108" fillId="0" borderId="58" xfId="0" applyFont="1" applyBorder="1" applyAlignment="1">
      <alignment horizontal="center" vertical="center" wrapText="1"/>
    </xf>
    <xf numFmtId="0" fontId="84" fillId="35" borderId="51" xfId="0" applyFont="1" applyFill="1" applyBorder="1" applyAlignment="1">
      <alignment horizontal="center" vertical="center" wrapText="1"/>
    </xf>
    <xf numFmtId="0" fontId="84" fillId="35" borderId="62" xfId="0" applyFont="1" applyFill="1" applyBorder="1" applyAlignment="1">
      <alignment horizontal="center" vertical="center" wrapText="1"/>
    </xf>
    <xf numFmtId="0" fontId="108" fillId="0" borderId="54" xfId="0" applyFont="1" applyBorder="1" applyAlignment="1">
      <alignment horizontal="center" vertical="center" wrapText="1"/>
    </xf>
    <xf numFmtId="0" fontId="108" fillId="0" borderId="0" xfId="0" applyFont="1" applyBorder="1" applyAlignment="1">
      <alignment horizontal="center" vertical="center" wrapText="1"/>
    </xf>
    <xf numFmtId="0" fontId="84" fillId="0" borderId="74" xfId="0" applyFont="1" applyBorder="1" applyAlignment="1">
      <alignment horizontal="center"/>
    </xf>
    <xf numFmtId="0" fontId="84" fillId="0" borderId="54" xfId="0" applyFont="1" applyBorder="1" applyAlignment="1">
      <alignment horizontal="center"/>
    </xf>
    <xf numFmtId="0" fontId="84" fillId="0" borderId="55" xfId="0" applyFont="1" applyBorder="1" applyAlignment="1">
      <alignment horizontal="center"/>
    </xf>
    <xf numFmtId="0" fontId="84" fillId="0" borderId="77" xfId="0" applyNumberFormat="1" applyFont="1" applyFill="1" applyBorder="1" applyAlignment="1">
      <alignment horizontal="left"/>
    </xf>
    <xf numFmtId="0" fontId="84" fillId="0" borderId="78" xfId="0" applyNumberFormat="1" applyFont="1" applyFill="1" applyBorder="1" applyAlignment="1">
      <alignment horizontal="left"/>
    </xf>
    <xf numFmtId="0" fontId="84" fillId="0" borderId="65" xfId="0" applyNumberFormat="1" applyFont="1" applyFill="1" applyBorder="1" applyAlignment="1">
      <alignment horizontal="left"/>
    </xf>
    <xf numFmtId="0" fontId="87" fillId="35" borderId="79" xfId="0" applyFont="1" applyFill="1" applyBorder="1" applyAlignment="1">
      <alignment horizontal="left"/>
    </xf>
    <xf numFmtId="0" fontId="87" fillId="35" borderId="23" xfId="0" applyFont="1" applyFill="1" applyBorder="1" applyAlignment="1">
      <alignment horizontal="left"/>
    </xf>
    <xf numFmtId="0" fontId="87" fillId="35" borderId="73" xfId="0" applyFont="1" applyFill="1" applyBorder="1" applyAlignment="1">
      <alignment horizontal="left"/>
    </xf>
    <xf numFmtId="0" fontId="0" fillId="0" borderId="17" xfId="0" applyNumberFormat="1" applyFill="1" applyBorder="1" applyAlignment="1">
      <alignment horizontal="left"/>
    </xf>
    <xf numFmtId="0" fontId="0" fillId="0" borderId="13" xfId="0" applyNumberFormat="1" applyFill="1" applyBorder="1" applyAlignment="1">
      <alignment horizontal="left"/>
    </xf>
    <xf numFmtId="0" fontId="0" fillId="0" borderId="25" xfId="0" applyNumberFormat="1" applyFill="1" applyBorder="1" applyAlignment="1">
      <alignment horizontal="left"/>
    </xf>
    <xf numFmtId="0" fontId="108" fillId="0" borderId="49" xfId="0" applyFont="1" applyBorder="1" applyAlignment="1">
      <alignment horizontal="center" vertical="center" wrapText="1"/>
    </xf>
    <xf numFmtId="0" fontId="84" fillId="35" borderId="79" xfId="0" applyFont="1" applyFill="1" applyBorder="1" applyAlignment="1">
      <alignment horizontal="left"/>
    </xf>
    <xf numFmtId="0" fontId="84" fillId="35" borderId="23" xfId="0" applyFont="1" applyFill="1" applyBorder="1" applyAlignment="1">
      <alignment horizontal="left"/>
    </xf>
    <xf numFmtId="0" fontId="84" fillId="35" borderId="12" xfId="0" applyFont="1" applyFill="1" applyBorder="1" applyAlignment="1">
      <alignment horizontal="left"/>
    </xf>
    <xf numFmtId="0" fontId="84" fillId="35" borderId="38" xfId="0" applyFont="1" applyFill="1" applyBorder="1" applyAlignment="1">
      <alignment horizontal="left"/>
    </xf>
    <xf numFmtId="0" fontId="0" fillId="0" borderId="59" xfId="0" applyFont="1" applyBorder="1" applyAlignment="1">
      <alignment horizontal="right"/>
    </xf>
    <xf numFmtId="0" fontId="0" fillId="0" borderId="24" xfId="0" applyFont="1" applyBorder="1" applyAlignment="1">
      <alignment horizontal="right"/>
    </xf>
    <xf numFmtId="0" fontId="108" fillId="0" borderId="41" xfId="0" applyFont="1" applyBorder="1" applyAlignment="1">
      <alignment horizontal="center" vertical="center" wrapText="1"/>
    </xf>
    <xf numFmtId="0" fontId="108" fillId="0" borderId="26" xfId="0" applyFont="1" applyBorder="1" applyAlignment="1">
      <alignment horizontal="center" vertical="center" wrapText="1"/>
    </xf>
    <xf numFmtId="0" fontId="108" fillId="0" borderId="67" xfId="0" applyFont="1" applyBorder="1" applyAlignment="1">
      <alignment horizontal="center" vertical="center" wrapText="1"/>
    </xf>
    <xf numFmtId="0" fontId="108" fillId="0" borderId="22" xfId="0" applyFont="1" applyBorder="1" applyAlignment="1">
      <alignment horizontal="center" vertical="center" wrapText="1"/>
    </xf>
    <xf numFmtId="0" fontId="84" fillId="0" borderId="26" xfId="0" applyFont="1" applyBorder="1" applyAlignment="1">
      <alignment horizontal="center" vertical="center"/>
    </xf>
    <xf numFmtId="0" fontId="84" fillId="0" borderId="41" xfId="0" applyFont="1" applyBorder="1" applyAlignment="1">
      <alignment horizontal="center" vertical="center"/>
    </xf>
    <xf numFmtId="0" fontId="84" fillId="0" borderId="50" xfId="0" applyFont="1" applyBorder="1" applyAlignment="1">
      <alignment horizontal="center" vertical="center"/>
    </xf>
    <xf numFmtId="0" fontId="84" fillId="0" borderId="27" xfId="0" applyFont="1" applyBorder="1" applyAlignment="1">
      <alignment horizontal="center" vertical="center"/>
    </xf>
    <xf numFmtId="0" fontId="0" fillId="0" borderId="50" xfId="0" applyBorder="1" applyAlignment="1">
      <alignment horizontal="center"/>
    </xf>
    <xf numFmtId="0" fontId="0" fillId="0" borderId="58" xfId="0" applyBorder="1" applyAlignment="1">
      <alignment horizontal="center"/>
    </xf>
    <xf numFmtId="0" fontId="0" fillId="0" borderId="49" xfId="0" applyBorder="1" applyAlignment="1">
      <alignment horizontal="center"/>
    </xf>
    <xf numFmtId="0" fontId="91" fillId="0" borderId="50" xfId="0" applyFont="1" applyBorder="1" applyAlignment="1">
      <alignment horizontal="center" vertical="center"/>
    </xf>
    <xf numFmtId="0" fontId="91" fillId="0" borderId="58" xfId="0" applyFont="1" applyBorder="1" applyAlignment="1">
      <alignment horizontal="center" vertical="center"/>
    </xf>
    <xf numFmtId="0" fontId="91" fillId="0" borderId="49" xfId="0" applyFont="1" applyBorder="1" applyAlignment="1">
      <alignment horizontal="center" vertical="center"/>
    </xf>
    <xf numFmtId="0" fontId="84" fillId="35" borderId="47" xfId="0" applyFont="1" applyFill="1" applyBorder="1" applyAlignment="1">
      <alignment horizontal="center" vertical="center" wrapText="1"/>
    </xf>
    <xf numFmtId="0" fontId="91" fillId="35" borderId="76" xfId="0" applyFont="1" applyFill="1" applyBorder="1" applyAlignment="1">
      <alignment horizontal="left"/>
    </xf>
    <xf numFmtId="0" fontId="84" fillId="35" borderId="22" xfId="0" applyFont="1" applyFill="1" applyBorder="1" applyAlignment="1">
      <alignment horizontal="center"/>
    </xf>
    <xf numFmtId="0" fontId="84" fillId="35" borderId="32" xfId="0" applyFont="1" applyFill="1" applyBorder="1" applyAlignment="1">
      <alignment horizontal="center"/>
    </xf>
    <xf numFmtId="0" fontId="91" fillId="35" borderId="53" xfId="0" applyFont="1" applyFill="1" applyBorder="1" applyAlignment="1" quotePrefix="1">
      <alignment horizontal="left"/>
    </xf>
    <xf numFmtId="0" fontId="0" fillId="0" borderId="57" xfId="0" applyFont="1" applyBorder="1" applyAlignment="1">
      <alignment horizontal="center"/>
    </xf>
    <xf numFmtId="0" fontId="0" fillId="0" borderId="68" xfId="0" applyFont="1" applyBorder="1" applyAlignment="1">
      <alignment horizontal="center"/>
    </xf>
    <xf numFmtId="0" fontId="0" fillId="0" borderId="42" xfId="0" applyFont="1" applyBorder="1" applyAlignment="1">
      <alignment horizontal="center"/>
    </xf>
    <xf numFmtId="0" fontId="0" fillId="0" borderId="57" xfId="0" applyBorder="1" applyAlignment="1">
      <alignment horizontal="center" vertical="center" wrapText="1"/>
    </xf>
    <xf numFmtId="0" fontId="0" fillId="0" borderId="80" xfId="0" applyBorder="1" applyAlignment="1">
      <alignment horizontal="center" vertical="center" wrapText="1"/>
    </xf>
    <xf numFmtId="0" fontId="84" fillId="35" borderId="22" xfId="0" applyFont="1" applyFill="1" applyBorder="1" applyAlignment="1">
      <alignment horizontal="center" vertical="center" wrapText="1"/>
    </xf>
    <xf numFmtId="0" fontId="84" fillId="35" borderId="32" xfId="0" applyFont="1" applyFill="1" applyBorder="1" applyAlignment="1">
      <alignment horizontal="center" vertical="center" wrapText="1"/>
    </xf>
    <xf numFmtId="0" fontId="84" fillId="35" borderId="81" xfId="0" applyFont="1" applyFill="1" applyBorder="1" applyAlignment="1">
      <alignment horizontal="center" vertical="center" wrapText="1"/>
    </xf>
    <xf numFmtId="0" fontId="84" fillId="35" borderId="61" xfId="0" applyFont="1" applyFill="1" applyBorder="1" applyAlignment="1">
      <alignment horizontal="center" vertical="center" wrapText="1"/>
    </xf>
    <xf numFmtId="0" fontId="84" fillId="35" borderId="66" xfId="0" applyFont="1" applyFill="1" applyBorder="1" applyAlignment="1">
      <alignment horizontal="center" vertical="center" wrapText="1"/>
    </xf>
    <xf numFmtId="0" fontId="0" fillId="0" borderId="82" xfId="0" applyBorder="1" applyAlignment="1">
      <alignment horizontal="center"/>
    </xf>
    <xf numFmtId="0" fontId="0" fillId="0" borderId="28" xfId="0" applyBorder="1" applyAlignment="1">
      <alignment horizontal="center"/>
    </xf>
    <xf numFmtId="0" fontId="91" fillId="35" borderId="18" xfId="0" applyFont="1" applyFill="1" applyBorder="1" applyAlignment="1" quotePrefix="1">
      <alignment horizontal="left"/>
    </xf>
    <xf numFmtId="0" fontId="91" fillId="35" borderId="0" xfId="0" applyFont="1" applyFill="1" applyBorder="1" applyAlignment="1" quotePrefix="1">
      <alignment horizontal="left"/>
    </xf>
    <xf numFmtId="0" fontId="91" fillId="35" borderId="56" xfId="0" applyFont="1" applyFill="1" applyBorder="1" applyAlignment="1" quotePrefix="1">
      <alignment horizontal="left"/>
    </xf>
    <xf numFmtId="0" fontId="0" fillId="0" borderId="10" xfId="0" applyBorder="1" applyAlignment="1">
      <alignment horizontal="center" vertical="center" wrapText="1"/>
    </xf>
    <xf numFmtId="0" fontId="87" fillId="0" borderId="10" xfId="0" applyFont="1" applyBorder="1" applyAlignment="1">
      <alignment horizontal="center" vertical="center" wrapText="1"/>
    </xf>
    <xf numFmtId="0" fontId="91" fillId="0" borderId="0" xfId="0" applyFont="1" applyAlignment="1">
      <alignment horizontal="center" vertical="center" textRotation="90" wrapText="1"/>
    </xf>
    <xf numFmtId="0" fontId="87" fillId="0" borderId="11" xfId="0" applyFont="1" applyBorder="1" applyAlignment="1">
      <alignment horizontal="center" vertical="center" wrapText="1"/>
    </xf>
    <xf numFmtId="0" fontId="87" fillId="0" borderId="59" xfId="0" applyFont="1" applyBorder="1" applyAlignment="1">
      <alignment horizontal="center" vertical="center" wrapText="1"/>
    </xf>
    <xf numFmtId="0" fontId="87" fillId="0" borderId="24" xfId="0" applyFont="1" applyBorder="1" applyAlignment="1">
      <alignment horizontal="center" vertical="center" wrapText="1"/>
    </xf>
    <xf numFmtId="1" fontId="0" fillId="0" borderId="18" xfId="0" applyNumberFormat="1" applyFont="1" applyFill="1" applyBorder="1" applyAlignment="1">
      <alignment/>
    </xf>
    <xf numFmtId="1" fontId="0" fillId="0" borderId="0" xfId="0" applyNumberFormat="1" applyFont="1" applyFill="1" applyBorder="1" applyAlignment="1">
      <alignment/>
    </xf>
    <xf numFmtId="0" fontId="68" fillId="0" borderId="0" xfId="0" applyFont="1" applyAlignment="1">
      <alignment/>
    </xf>
    <xf numFmtId="0" fontId="68" fillId="0" borderId="0" xfId="0" applyFont="1" applyAlignment="1">
      <alignment horizontal="right"/>
    </xf>
    <xf numFmtId="1" fontId="68" fillId="0" borderId="0" xfId="0" applyNumberFormat="1" applyFont="1" applyAlignment="1">
      <alignment/>
    </xf>
    <xf numFmtId="0" fontId="96" fillId="0" borderId="0" xfId="0" applyFont="1" applyAlignment="1">
      <alignment horizontal="left" textRotation="80" wrapText="1"/>
    </xf>
    <xf numFmtId="0" fontId="87" fillId="0" borderId="0" xfId="0" applyFont="1" applyAlignment="1">
      <alignment horizontal="center" textRotation="255"/>
    </xf>
    <xf numFmtId="0" fontId="0" fillId="0" borderId="0" xfId="0" applyAlignment="1">
      <alignment textRotation="75" wrapText="1"/>
    </xf>
    <xf numFmtId="172" fontId="109" fillId="0" borderId="0" xfId="0" applyNumberFormat="1" applyFont="1" applyAlignment="1">
      <alignment horizontal="center"/>
    </xf>
    <xf numFmtId="1" fontId="110" fillId="37" borderId="0" xfId="0" applyNumberFormat="1" applyFont="1" applyFill="1" applyAlignment="1">
      <alignment horizontal="center"/>
    </xf>
    <xf numFmtId="0" fontId="111" fillId="0" borderId="10" xfId="0" applyFont="1" applyBorder="1" applyAlignment="1">
      <alignment horizontal="left" vertical="center"/>
    </xf>
    <xf numFmtId="1" fontId="111" fillId="0" borderId="10" xfId="0" applyNumberFormat="1" applyFont="1" applyBorder="1" applyAlignment="1">
      <alignment vertical="center"/>
    </xf>
    <xf numFmtId="0" fontId="112" fillId="0" borderId="10" xfId="0" applyFont="1" applyBorder="1" applyAlignment="1">
      <alignment horizontal="left" vertical="center"/>
    </xf>
    <xf numFmtId="1" fontId="112" fillId="0" borderId="10" xfId="0" applyNumberFormat="1" applyFont="1" applyBorder="1" applyAlignment="1">
      <alignment horizontal="center"/>
    </xf>
    <xf numFmtId="0" fontId="111" fillId="0" borderId="31" xfId="0" applyFont="1" applyBorder="1" applyAlignment="1">
      <alignment horizontal="left" vertical="center" wrapText="1"/>
    </xf>
    <xf numFmtId="0" fontId="111" fillId="0" borderId="44" xfId="0" applyFont="1" applyBorder="1" applyAlignment="1">
      <alignment horizontal="left" vertical="center" wrapText="1"/>
    </xf>
    <xf numFmtId="0" fontId="111" fillId="0" borderId="30" xfId="0" applyFont="1" applyBorder="1" applyAlignment="1">
      <alignment horizontal="left" vertical="center" wrapText="1"/>
    </xf>
    <xf numFmtId="0" fontId="111" fillId="0" borderId="30" xfId="0" applyFont="1" applyBorder="1" applyAlignment="1">
      <alignment vertical="center"/>
    </xf>
    <xf numFmtId="0" fontId="111" fillId="0" borderId="12" xfId="0" applyFont="1" applyBorder="1" applyAlignment="1">
      <alignment vertical="center"/>
    </xf>
    <xf numFmtId="0" fontId="111" fillId="0" borderId="10" xfId="0" applyFont="1" applyBorder="1" applyAlignment="1">
      <alignment horizontal="center" vertical="center" wrapText="1"/>
    </xf>
    <xf numFmtId="0" fontId="113" fillId="0" borderId="10" xfId="0" applyFont="1" applyBorder="1" applyAlignment="1">
      <alignment horizontal="center"/>
    </xf>
    <xf numFmtId="0" fontId="114" fillId="0" borderId="0" xfId="0" applyFont="1" applyAlignment="1">
      <alignment wrapText="1"/>
    </xf>
    <xf numFmtId="0" fontId="0" fillId="0" borderId="0" xfId="0" applyAlignment="1">
      <alignment wrapText="1"/>
    </xf>
    <xf numFmtId="0" fontId="115" fillId="0" borderId="0" xfId="0" applyFont="1" applyAlignment="1">
      <alignment wrapText="1"/>
    </xf>
    <xf numFmtId="0" fontId="116" fillId="0" borderId="0" xfId="0" applyFont="1" applyAlignment="1">
      <alignment wrapText="1"/>
    </xf>
    <xf numFmtId="0" fontId="117" fillId="0" borderId="0" xfId="0" applyFont="1" applyAlignment="1">
      <alignment wrapText="1"/>
    </xf>
    <xf numFmtId="0" fontId="118" fillId="0" borderId="83" xfId="0" applyFont="1" applyBorder="1" applyAlignment="1">
      <alignment wrapText="1"/>
    </xf>
    <xf numFmtId="0" fontId="78" fillId="0" borderId="0" xfId="53" applyAlignment="1">
      <alignment/>
    </xf>
    <xf numFmtId="0" fontId="119"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51"/>
          <c:w val="0.98725"/>
          <c:h val="0.950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a:ln w="3175">
                <a:noFill/>
              </a:ln>
            </c:spPr>
          </c:dPt>
          <c:dLbls>
            <c:numFmt formatCode="General" sourceLinked="1"/>
            <c:spPr>
              <a:noFill/>
              <a:ln w="3175">
                <a:noFill/>
              </a:ln>
            </c:spPr>
            <c:txPr>
              <a:bodyPr vert="horz" rot="0" anchor="ctr"/>
              <a:lstStyle/>
              <a:p>
                <a:pPr algn="ctr">
                  <a:defRPr lang="en-US" cap="none" sz="2000" b="0" i="1" u="none" baseline="0">
                    <a:solidFill>
                      <a:srgbClr val="000000"/>
                    </a:solidFill>
                  </a:defRPr>
                </a:pPr>
              </a:p>
            </c:txPr>
            <c:dLblPos val="ctr"/>
            <c:showLegendKey val="0"/>
            <c:showVal val="1"/>
            <c:showBubbleSize val="0"/>
            <c:showCatName val="0"/>
            <c:showSerName val="0"/>
            <c:showPercent val="0"/>
          </c:dLbls>
          <c:val>
            <c:numRef>
              <c:f>Model!$W$38</c:f>
              <c:numCache/>
            </c:numRef>
          </c:val>
        </c:ser>
        <c:gapWidth val="0"/>
        <c:axId val="52357145"/>
        <c:axId val="1452258"/>
      </c:barChart>
      <c:catAx>
        <c:axId val="52357145"/>
        <c:scaling>
          <c:orientation val="minMax"/>
        </c:scaling>
        <c:axPos val="l"/>
        <c:delete val="1"/>
        <c:majorTickMark val="out"/>
        <c:minorTickMark val="none"/>
        <c:tickLblPos val="none"/>
        <c:crossAx val="1452258"/>
        <c:crosses val="autoZero"/>
        <c:auto val="1"/>
        <c:lblOffset val="100"/>
        <c:tickLblSkip val="1"/>
        <c:noMultiLvlLbl val="0"/>
      </c:catAx>
      <c:valAx>
        <c:axId val="1452258"/>
        <c:scaling>
          <c:orientation val="minMax"/>
          <c:max val="8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5714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16"/>
          <c:w val="0.94025"/>
          <c:h val="0.9395"/>
        </c:manualLayout>
      </c:layout>
      <c:barChart>
        <c:barDir val="col"/>
        <c:grouping val="clustered"/>
        <c:varyColors val="0"/>
        <c:ser>
          <c:idx val="0"/>
          <c:order val="0"/>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8FEFE"/>
              </a:solidFill>
              <a:ln w="38100">
                <a:solidFill>
                  <a:srgbClr val="000000"/>
                </a:solidFill>
              </a:ln>
            </c:spPr>
          </c:dPt>
          <c:dPt>
            <c:idx val="1"/>
            <c:invertIfNegative val="0"/>
            <c:spPr>
              <a:solidFill>
                <a:srgbClr val="953735"/>
              </a:solidFill>
              <a:ln w="38100">
                <a:solidFill>
                  <a:srgbClr val="993366"/>
                </a:solidFill>
              </a:ln>
            </c:spPr>
          </c:dPt>
          <c:dLbls>
            <c:dLbl>
              <c:idx val="1"/>
              <c:layout>
                <c:manualLayout>
                  <c:x val="0"/>
                  <c:y val="0"/>
                </c:manualLayout>
              </c:layout>
              <c:txPr>
                <a:bodyPr vert="horz" rot="0" anchor="ctr"/>
                <a:lstStyle/>
                <a:p>
                  <a:pPr algn="ctr">
                    <a:defRPr lang="en-US" cap="none" sz="2400" b="1" i="0" u="none" baseline="0">
                      <a:solidFill>
                        <a:srgbClr val="FFFFFF"/>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200" b="0" i="0" u="none" baseline="0">
                    <a:solidFill>
                      <a:srgbClr val="000000"/>
                    </a:solidFill>
                    <a:latin typeface="Calibri"/>
                    <a:ea typeface="Calibri"/>
                    <a:cs typeface="Calibri"/>
                  </a:defRPr>
                </a:pPr>
              </a:p>
            </c:txPr>
            <c:dLblPos val="inEnd"/>
            <c:showLegendKey val="0"/>
            <c:showVal val="1"/>
            <c:showBubbleSize val="0"/>
            <c:showCatName val="0"/>
            <c:showSerName val="0"/>
            <c:showPercent val="0"/>
          </c:dLbls>
          <c:val>
            <c:numRef>
              <c:f>Model!$C$5</c:f>
              <c:numCache/>
            </c:numRef>
          </c:val>
        </c:ser>
        <c:ser>
          <c:idx val="1"/>
          <c:order val="1"/>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2400" b="1" i="0" u="none" baseline="0">
                      <a:solidFill>
                        <a:srgbClr val="FFFFFF"/>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2400" b="1" i="0" u="none" baseline="0">
                    <a:solidFill>
                      <a:srgbClr val="FFFFFF"/>
                    </a:solidFill>
                    <a:latin typeface="Calibri"/>
                    <a:ea typeface="Calibri"/>
                    <a:cs typeface="Calibri"/>
                  </a:defRPr>
                </a:pPr>
              </a:p>
            </c:txPr>
            <c:dLblPos val="inBase"/>
            <c:showLegendKey val="0"/>
            <c:showVal val="1"/>
            <c:showBubbleSize val="0"/>
            <c:showCatName val="0"/>
            <c:showSerName val="0"/>
            <c:showPercent val="0"/>
          </c:dLbls>
          <c:val>
            <c:numRef>
              <c:f>Model!$C$6</c:f>
              <c:numCache/>
            </c:numRef>
          </c:val>
        </c:ser>
        <c:gapWidth val="0"/>
        <c:axId val="13070323"/>
        <c:axId val="50524044"/>
      </c:barChart>
      <c:catAx>
        <c:axId val="13070323"/>
        <c:scaling>
          <c:orientation val="minMax"/>
        </c:scaling>
        <c:axPos val="b"/>
        <c:delete val="1"/>
        <c:majorTickMark val="out"/>
        <c:minorTickMark val="none"/>
        <c:tickLblPos val="none"/>
        <c:crossAx val="50524044"/>
        <c:crosses val="autoZero"/>
        <c:auto val="1"/>
        <c:lblOffset val="100"/>
        <c:tickLblSkip val="1"/>
        <c:noMultiLvlLbl val="0"/>
      </c:catAx>
      <c:valAx>
        <c:axId val="50524044"/>
        <c:scaling>
          <c:orientation val="minMax"/>
          <c:max val="100"/>
          <c:min val="0"/>
        </c:scaling>
        <c:axPos val="l"/>
        <c:delete val="1"/>
        <c:majorTickMark val="out"/>
        <c:minorTickMark val="none"/>
        <c:tickLblPos val="none"/>
        <c:crossAx val="13070323"/>
        <c:crossesAt val="1"/>
        <c:crossBetween val="between"/>
        <c:dispUnits/>
      </c:valAx>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425"/>
          <c:w val="0.972"/>
          <c:h val="0.91975"/>
        </c:manualLayout>
      </c:layout>
      <c:barChart>
        <c:barDir val="bar"/>
        <c:grouping val="clustered"/>
        <c:varyColors val="0"/>
        <c:ser>
          <c:idx val="0"/>
          <c:order val="0"/>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4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val>
            <c:numRef>
              <c:f>Model!$B$5</c:f>
              <c:numCache/>
            </c:numRef>
          </c:val>
        </c:ser>
        <c:gapWidth val="0"/>
        <c:axId val="52063213"/>
        <c:axId val="65915734"/>
      </c:barChart>
      <c:catAx>
        <c:axId val="52063213"/>
        <c:scaling>
          <c:orientation val="minMax"/>
        </c:scaling>
        <c:axPos val="l"/>
        <c:delete val="1"/>
        <c:majorTickMark val="out"/>
        <c:minorTickMark val="none"/>
        <c:tickLblPos val="none"/>
        <c:crossAx val="65915734"/>
        <c:crosses val="autoZero"/>
        <c:auto val="1"/>
        <c:lblOffset val="100"/>
        <c:tickLblSkip val="1"/>
        <c:noMultiLvlLbl val="0"/>
      </c:catAx>
      <c:valAx>
        <c:axId val="65915734"/>
        <c:scaling>
          <c:orientation val="minMax"/>
          <c:max val="100"/>
          <c:min val="0"/>
        </c:scaling>
        <c:axPos val="b"/>
        <c:majorGridlines>
          <c:spPr>
            <a:ln w="3175">
              <a:solidFill>
                <a:srgbClr val="808080"/>
              </a:solidFill>
            </a:ln>
          </c:spPr>
        </c:majorGridlines>
        <c:delete val="0"/>
        <c:numFmt formatCode="General" sourceLinked="1"/>
        <c:majorTickMark val="in"/>
        <c:minorTickMark val="out"/>
        <c:tickLblPos val="nextTo"/>
        <c:spPr>
          <a:ln w="3175">
            <a:solidFill>
              <a:srgbClr val="808080"/>
            </a:solidFill>
          </a:ln>
        </c:spPr>
        <c:txPr>
          <a:bodyPr/>
          <a:lstStyle/>
          <a:p>
            <a:pPr>
              <a:defRPr lang="en-US" cap="none" sz="800" b="0" i="0" u="none" baseline="0">
                <a:solidFill>
                  <a:srgbClr val="000000"/>
                </a:solidFill>
                <a:latin typeface="Calibri"/>
                <a:ea typeface="Calibri"/>
                <a:cs typeface="Calibri"/>
              </a:defRPr>
            </a:pPr>
          </a:p>
        </c:txPr>
        <c:crossAx val="52063213"/>
        <c:crossesAt val="1"/>
        <c:crossBetween val="between"/>
        <c:dispUnits/>
        <c:majorUnit val="20"/>
        <c:min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93"/>
          <c:w val="0.972"/>
          <c:h val="0.92075"/>
        </c:manualLayout>
      </c:layout>
      <c:barChart>
        <c:barDir val="bar"/>
        <c:grouping val="clustered"/>
        <c:varyColors val="0"/>
        <c:ser>
          <c:idx val="0"/>
          <c:order val="0"/>
          <c:spPr>
            <a:solidFill>
              <a:srgbClr val="00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4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val>
            <c:numRef>
              <c:f>Model!$B$6</c:f>
              <c:numCache/>
            </c:numRef>
          </c:val>
        </c:ser>
        <c:gapWidth val="0"/>
        <c:axId val="56370695"/>
        <c:axId val="37574208"/>
      </c:barChart>
      <c:catAx>
        <c:axId val="56370695"/>
        <c:scaling>
          <c:orientation val="minMax"/>
        </c:scaling>
        <c:axPos val="l"/>
        <c:delete val="1"/>
        <c:majorTickMark val="out"/>
        <c:minorTickMark val="none"/>
        <c:tickLblPos val="none"/>
        <c:crossAx val="37574208"/>
        <c:crosses val="autoZero"/>
        <c:auto val="1"/>
        <c:lblOffset val="100"/>
        <c:tickLblSkip val="1"/>
        <c:noMultiLvlLbl val="0"/>
      </c:catAx>
      <c:valAx>
        <c:axId val="37574208"/>
        <c:scaling>
          <c:orientation val="minMax"/>
          <c:max val="100"/>
          <c:min val="0"/>
        </c:scaling>
        <c:axPos val="b"/>
        <c:majorGridlines>
          <c:spPr>
            <a:ln w="3175">
              <a:solidFill>
                <a:srgbClr val="808080"/>
              </a:solidFill>
            </a:ln>
          </c:spPr>
        </c:majorGridlines>
        <c:delete val="0"/>
        <c:numFmt formatCode="General" sourceLinked="1"/>
        <c:majorTickMark val="out"/>
        <c:minorTickMark val="out"/>
        <c:tickLblPos val="nextTo"/>
        <c:spPr>
          <a:ln w="3175">
            <a:solidFill>
              <a:srgbClr val="808080"/>
            </a:solidFill>
          </a:ln>
        </c:spPr>
        <c:txPr>
          <a:bodyPr/>
          <a:lstStyle/>
          <a:p>
            <a:pPr>
              <a:defRPr lang="en-US" cap="none" sz="800" b="0" i="0" u="none" baseline="0">
                <a:solidFill>
                  <a:srgbClr val="000000"/>
                </a:solidFill>
                <a:latin typeface="Calibri"/>
                <a:ea typeface="Calibri"/>
                <a:cs typeface="Calibri"/>
              </a:defRPr>
            </a:pPr>
          </a:p>
        </c:txPr>
        <c:crossAx val="56370695"/>
        <c:crossesAt val="1"/>
        <c:crossBetween val="between"/>
        <c:dispUnits/>
        <c:majorUnit val="20"/>
        <c:min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93"/>
          <c:w val="0.972"/>
          <c:h val="0.92075"/>
        </c:manualLayout>
      </c:layout>
      <c:barChart>
        <c:barDir val="bar"/>
        <c:grouping val="clustered"/>
        <c:varyColors val="0"/>
        <c:ser>
          <c:idx val="0"/>
          <c:order val="0"/>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CC00"/>
              </a:solidFill>
              <a:ln w="3175">
                <a:noFill/>
              </a:ln>
            </c:spPr>
          </c:dPt>
          <c:dLbls>
            <c:numFmt formatCode="General" sourceLinked="1"/>
            <c:spPr>
              <a:noFill/>
              <a:ln w="3175">
                <a:noFill/>
              </a:ln>
            </c:spPr>
            <c:txPr>
              <a:bodyPr vert="horz" rot="0" anchor="ctr"/>
              <a:lstStyle/>
              <a:p>
                <a:pPr algn="ctr">
                  <a:defRPr lang="en-US" cap="none" sz="24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val>
            <c:numRef>
              <c:f>Model!$B$7</c:f>
              <c:numCache/>
            </c:numRef>
          </c:val>
        </c:ser>
        <c:gapWidth val="0"/>
        <c:axId val="2623553"/>
        <c:axId val="23611978"/>
      </c:barChart>
      <c:catAx>
        <c:axId val="2623553"/>
        <c:scaling>
          <c:orientation val="minMax"/>
        </c:scaling>
        <c:axPos val="l"/>
        <c:delete val="1"/>
        <c:majorTickMark val="out"/>
        <c:minorTickMark val="none"/>
        <c:tickLblPos val="none"/>
        <c:crossAx val="23611978"/>
        <c:crosses val="autoZero"/>
        <c:auto val="1"/>
        <c:lblOffset val="100"/>
        <c:tickLblSkip val="1"/>
        <c:noMultiLvlLbl val="0"/>
      </c:catAx>
      <c:valAx>
        <c:axId val="23611978"/>
        <c:scaling>
          <c:orientation val="minMax"/>
          <c:max val="100"/>
          <c:min val="0"/>
        </c:scaling>
        <c:axPos val="b"/>
        <c:majorGridlines>
          <c:spPr>
            <a:ln w="3175">
              <a:solidFill>
                <a:srgbClr val="808080"/>
              </a:solidFill>
            </a:ln>
          </c:spPr>
        </c:majorGridlines>
        <c:delete val="0"/>
        <c:numFmt formatCode="General" sourceLinked="1"/>
        <c:majorTickMark val="out"/>
        <c:minorTickMark val="out"/>
        <c:tickLblPos val="nextTo"/>
        <c:spPr>
          <a:ln w="3175">
            <a:solidFill>
              <a:srgbClr val="808080"/>
            </a:solidFill>
          </a:ln>
        </c:spPr>
        <c:txPr>
          <a:bodyPr/>
          <a:lstStyle/>
          <a:p>
            <a:pPr>
              <a:defRPr lang="en-US" cap="none" sz="800" b="0" i="0" u="none" baseline="0">
                <a:solidFill>
                  <a:srgbClr val="000000"/>
                </a:solidFill>
                <a:latin typeface="Calibri"/>
                <a:ea typeface="Calibri"/>
                <a:cs typeface="Calibri"/>
              </a:defRPr>
            </a:pPr>
          </a:p>
        </c:txPr>
        <c:crossAx val="2623553"/>
        <c:crossesAt val="1"/>
        <c:crossBetween val="between"/>
        <c:dispUnits/>
        <c:majorUnit val="20"/>
        <c:min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5575"/>
          <c:w val="0.93575"/>
          <c:h val="0.86925"/>
        </c:manualLayout>
      </c:layout>
      <c:barChart>
        <c:barDir val="col"/>
        <c:grouping val="clustered"/>
        <c:varyColors val="0"/>
        <c:ser>
          <c:idx val="0"/>
          <c:order val="0"/>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31859C"/>
              </a:solidFill>
              <a:ln w="3175">
                <a:noFill/>
              </a:ln>
            </c:spPr>
          </c:dPt>
          <c:dPt>
            <c:idx val="2"/>
            <c:invertIfNegative val="0"/>
            <c:spPr>
              <a:solidFill>
                <a:srgbClr val="E46C0A"/>
              </a:solidFill>
              <a:ln w="3175">
                <a:noFill/>
              </a:ln>
            </c:spPr>
          </c:dPt>
          <c:dPt>
            <c:idx val="3"/>
            <c:invertIfNegative val="0"/>
            <c:spPr>
              <a:solidFill>
                <a:srgbClr val="FF66FF"/>
              </a:solidFill>
              <a:ln w="3175">
                <a:noFill/>
              </a:ln>
            </c:spPr>
          </c:dPt>
          <c:dPt>
            <c:idx val="4"/>
            <c:invertIfNegative val="0"/>
            <c:spPr>
              <a:solidFill>
                <a:srgbClr val="A6A6A6"/>
              </a:solidFill>
              <a:ln w="3175">
                <a:noFill/>
              </a:ln>
            </c:spPr>
          </c:dPt>
          <c:val>
            <c:numRef>
              <c:f>Model!$W$28:$AA$28</c:f>
              <c:numCache/>
            </c:numRef>
          </c:val>
        </c:ser>
        <c:gapWidth val="0"/>
        <c:axId val="11181211"/>
        <c:axId val="33522036"/>
      </c:barChart>
      <c:catAx>
        <c:axId val="11181211"/>
        <c:scaling>
          <c:orientation val="minMax"/>
        </c:scaling>
        <c:axPos val="b"/>
        <c:delete val="1"/>
        <c:majorTickMark val="out"/>
        <c:minorTickMark val="none"/>
        <c:tickLblPos val="none"/>
        <c:crossAx val="33522036"/>
        <c:crosses val="autoZero"/>
        <c:auto val="1"/>
        <c:lblOffset val="100"/>
        <c:tickLblSkip val="1"/>
        <c:noMultiLvlLbl val="0"/>
      </c:catAx>
      <c:valAx>
        <c:axId val="33522036"/>
        <c:scaling>
          <c:orientation val="minMax"/>
          <c:max val="30"/>
          <c:min val="0"/>
        </c:scaling>
        <c:axPos val="l"/>
        <c:majorGridlines>
          <c:spPr>
            <a:ln w="3175">
              <a:solidFill>
                <a:srgbClr val="808080"/>
              </a:solidFill>
            </a:ln>
          </c:spPr>
        </c:majorGridlines>
        <c:delete val="1"/>
        <c:majorTickMark val="out"/>
        <c:minorTickMark val="none"/>
        <c:tickLblPos val="none"/>
        <c:crossAx val="11181211"/>
        <c:crossesAt val="1"/>
        <c:crossBetween val="between"/>
        <c:dispUnits/>
        <c:majorUnit val="5"/>
        <c:min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3</xdr:row>
      <xdr:rowOff>9525</xdr:rowOff>
    </xdr:from>
    <xdr:to>
      <xdr:col>1</xdr:col>
      <xdr:colOff>1524000</xdr:colOff>
      <xdr:row>8</xdr:row>
      <xdr:rowOff>180975</xdr:rowOff>
    </xdr:to>
    <xdr:pic>
      <xdr:nvPicPr>
        <xdr:cNvPr id="1" name="Picture 1" descr="Cover Image"/>
        <xdr:cNvPicPr preferRelativeResize="1">
          <a:picLocks noChangeAspect="1"/>
        </xdr:cNvPicPr>
      </xdr:nvPicPr>
      <xdr:blipFill>
        <a:blip r:embed="rId1"/>
        <a:stretch>
          <a:fillRect/>
        </a:stretch>
      </xdr:blipFill>
      <xdr:spPr>
        <a:xfrm>
          <a:off x="561975" y="657225"/>
          <a:ext cx="1343025" cy="1895475"/>
        </a:xfrm>
        <a:prstGeom prst="rect">
          <a:avLst/>
        </a:prstGeom>
        <a:noFill/>
        <a:ln w="9525" cmpd="sng">
          <a:solidFill>
            <a:srgbClr val="BFBFB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276225</xdr:colOff>
      <xdr:row>31</xdr:row>
      <xdr:rowOff>38100</xdr:rowOff>
    </xdr:from>
    <xdr:to>
      <xdr:col>34</xdr:col>
      <xdr:colOff>228600</xdr:colOff>
      <xdr:row>38</xdr:row>
      <xdr:rowOff>142875</xdr:rowOff>
    </xdr:to>
    <xdr:graphicFrame>
      <xdr:nvGraphicFramePr>
        <xdr:cNvPr id="1" name="Chart 2"/>
        <xdr:cNvGraphicFramePr/>
      </xdr:nvGraphicFramePr>
      <xdr:xfrm>
        <a:off x="14163675" y="7600950"/>
        <a:ext cx="4219575" cy="1695450"/>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6</xdr:row>
      <xdr:rowOff>104775</xdr:rowOff>
    </xdr:from>
    <xdr:to>
      <xdr:col>8</xdr:col>
      <xdr:colOff>180975</xdr:colOff>
      <xdr:row>29</xdr:row>
      <xdr:rowOff>66675</xdr:rowOff>
    </xdr:to>
    <xdr:grpSp>
      <xdr:nvGrpSpPr>
        <xdr:cNvPr id="2" name="Group 3"/>
        <xdr:cNvGrpSpPr>
          <a:grpSpLocks/>
        </xdr:cNvGrpSpPr>
      </xdr:nvGrpSpPr>
      <xdr:grpSpPr>
        <a:xfrm>
          <a:off x="666750" y="1247775"/>
          <a:ext cx="1819275" cy="6000750"/>
          <a:chOff x="2204357" y="2435680"/>
          <a:chExt cx="1823357" cy="3456214"/>
        </a:xfrm>
        <a:solidFill>
          <a:srgbClr val="FFFFFF"/>
        </a:solidFill>
      </xdr:grpSpPr>
      <xdr:sp>
        <xdr:nvSpPr>
          <xdr:cNvPr id="3" name="Rectangle 4"/>
          <xdr:cNvSpPr>
            <a:spLocks/>
          </xdr:cNvSpPr>
        </xdr:nvSpPr>
        <xdr:spPr>
          <a:xfrm>
            <a:off x="2204357" y="2435680"/>
            <a:ext cx="1823357" cy="3456214"/>
          </a:xfrm>
          <a:prstGeom prst="rect">
            <a:avLst/>
          </a:prstGeom>
          <a:solidFill>
            <a:srgbClr val="F8FEFE"/>
          </a:solidFill>
          <a:ln w="38100" cmpd="sng">
            <a:solidFill>
              <a:srgbClr val="BFBFBF"/>
            </a:solidFill>
            <a:headEnd type="none"/>
            <a:tailEnd type="none"/>
          </a:ln>
        </xdr:spPr>
        <xdr:txBody>
          <a:bodyPr vertOverflow="clip" wrap="square" anchor="b"/>
          <a:p>
            <a:pPr algn="l">
              <a:defRPr/>
            </a:pPr>
            <a:r>
              <a:rPr lang="en-US" cap="none" sz="1800" b="1" i="0" u="none" baseline="0">
                <a:solidFill>
                  <a:srgbClr val="000000"/>
                </a:solidFill>
                <a:latin typeface="Calibri"/>
                <a:ea typeface="Calibri"/>
                <a:cs typeface="Calibri"/>
              </a:rPr>
              <a:t>(Total Ecosystem Potential)</a:t>
            </a:r>
          </a:p>
        </xdr:txBody>
      </xdr:sp>
      <xdr:sp>
        <xdr:nvSpPr>
          <xdr:cNvPr id="4" name="TextBox 5"/>
          <xdr:cNvSpPr txBox="1">
            <a:spLocks noChangeArrowheads="1"/>
          </xdr:cNvSpPr>
        </xdr:nvSpPr>
        <xdr:spPr>
          <a:xfrm>
            <a:off x="3116036" y="2544551"/>
            <a:ext cx="830083" cy="476093"/>
          </a:xfrm>
          <a:prstGeom prst="rect">
            <a:avLst/>
          </a:prstGeom>
          <a:noFill/>
          <a:ln w="38100" cmpd="sng">
            <a:noFill/>
          </a:ln>
        </xdr:spPr>
        <xdr:txBody>
          <a:bodyPr vertOverflow="clip" wrap="square"/>
          <a:p>
            <a:pPr algn="l">
              <a:defRPr/>
            </a:pPr>
            <a:r>
              <a:rPr lang="en-US" cap="none" sz="3200" b="0" i="0" u="none" baseline="0">
                <a:solidFill>
                  <a:srgbClr val="000000"/>
                </a:solidFill>
                <a:latin typeface="Calibri"/>
                <a:ea typeface="Calibri"/>
                <a:cs typeface="Calibri"/>
              </a:rPr>
              <a:t>100</a:t>
            </a:r>
          </a:p>
        </xdr:txBody>
      </xdr:sp>
    </xdr:grpSp>
    <xdr:clientData/>
  </xdr:twoCellAnchor>
  <xdr:twoCellAnchor>
    <xdr:from>
      <xdr:col>14</xdr:col>
      <xdr:colOff>400050</xdr:colOff>
      <xdr:row>5</xdr:row>
      <xdr:rowOff>190500</xdr:rowOff>
    </xdr:from>
    <xdr:to>
      <xdr:col>21</xdr:col>
      <xdr:colOff>66675</xdr:colOff>
      <xdr:row>30</xdr:row>
      <xdr:rowOff>142875</xdr:rowOff>
    </xdr:to>
    <xdr:graphicFrame>
      <xdr:nvGraphicFramePr>
        <xdr:cNvPr id="5" name="Chart 6"/>
        <xdr:cNvGraphicFramePr/>
      </xdr:nvGraphicFramePr>
      <xdr:xfrm>
        <a:off x="6362700" y="1143000"/>
        <a:ext cx="3933825" cy="6372225"/>
      </xdr:xfrm>
      <a:graphic>
        <a:graphicData uri="http://schemas.openxmlformats.org/drawingml/2006/chart">
          <c:chart xmlns:c="http://schemas.openxmlformats.org/drawingml/2006/chart" r:id="rId2"/>
        </a:graphicData>
      </a:graphic>
    </xdr:graphicFrame>
    <xdr:clientData/>
  </xdr:twoCellAnchor>
  <xdr:twoCellAnchor>
    <xdr:from>
      <xdr:col>8</xdr:col>
      <xdr:colOff>581025</xdr:colOff>
      <xdr:row>7</xdr:row>
      <xdr:rowOff>504825</xdr:rowOff>
    </xdr:from>
    <xdr:to>
      <xdr:col>14</xdr:col>
      <xdr:colOff>238125</xdr:colOff>
      <xdr:row>12</xdr:row>
      <xdr:rowOff>85725</xdr:rowOff>
    </xdr:to>
    <xdr:graphicFrame>
      <xdr:nvGraphicFramePr>
        <xdr:cNvPr id="6" name="Chart 7"/>
        <xdr:cNvGraphicFramePr/>
      </xdr:nvGraphicFramePr>
      <xdr:xfrm>
        <a:off x="2886075" y="1838325"/>
        <a:ext cx="3314700" cy="1771650"/>
      </xdr:xfrm>
      <a:graphic>
        <a:graphicData uri="http://schemas.openxmlformats.org/drawingml/2006/chart">
          <c:chart xmlns:c="http://schemas.openxmlformats.org/drawingml/2006/chart" r:id="rId3"/>
        </a:graphicData>
      </a:graphic>
    </xdr:graphicFrame>
    <xdr:clientData/>
  </xdr:twoCellAnchor>
  <xdr:twoCellAnchor>
    <xdr:from>
      <xdr:col>8</xdr:col>
      <xdr:colOff>571500</xdr:colOff>
      <xdr:row>6</xdr:row>
      <xdr:rowOff>123825</xdr:rowOff>
    </xdr:from>
    <xdr:to>
      <xdr:col>14</xdr:col>
      <xdr:colOff>247650</xdr:colOff>
      <xdr:row>7</xdr:row>
      <xdr:rowOff>1428750</xdr:rowOff>
    </xdr:to>
    <xdr:sp>
      <xdr:nvSpPr>
        <xdr:cNvPr id="7" name="TextBox 8"/>
        <xdr:cNvSpPr txBox="1">
          <a:spLocks noChangeArrowheads="1"/>
        </xdr:cNvSpPr>
      </xdr:nvSpPr>
      <xdr:spPr>
        <a:xfrm>
          <a:off x="2876550" y="1266825"/>
          <a:ext cx="3333750" cy="1495425"/>
        </a:xfrm>
        <a:prstGeom prst="rect">
          <a:avLst/>
        </a:prstGeom>
        <a:solidFill>
          <a:srgbClr val="FFFFFF"/>
        </a:solidFill>
        <a:ln w="9525" cmpd="sng">
          <a:noFill/>
        </a:ln>
      </xdr:spPr>
      <xdr:txBody>
        <a:bodyPr vertOverflow="clip" wrap="square"/>
        <a:p>
          <a:pPr algn="ctr">
            <a:defRPr/>
          </a:pPr>
          <a:r>
            <a:rPr lang="en-US" cap="none" sz="1400" b="1" i="0" u="none" baseline="0">
              <a:solidFill>
                <a:srgbClr val="000000"/>
              </a:solidFill>
              <a:latin typeface="Calibri"/>
              <a:ea typeface="Calibri"/>
              <a:cs typeface="Calibri"/>
            </a:rPr>
            <a:t>Ecosystem Carbon Surplus</a:t>
          </a:r>
        </a:p>
      </xdr:txBody>
    </xdr:sp>
    <xdr:clientData/>
  </xdr:twoCellAnchor>
  <xdr:twoCellAnchor>
    <xdr:from>
      <xdr:col>8</xdr:col>
      <xdr:colOff>533400</xdr:colOff>
      <xdr:row>6</xdr:row>
      <xdr:rowOff>114300</xdr:rowOff>
    </xdr:from>
    <xdr:to>
      <xdr:col>14</xdr:col>
      <xdr:colOff>295275</xdr:colOff>
      <xdr:row>13</xdr:row>
      <xdr:rowOff>152400</xdr:rowOff>
    </xdr:to>
    <xdr:sp>
      <xdr:nvSpPr>
        <xdr:cNvPr id="8" name="Rectangle 9"/>
        <xdr:cNvSpPr>
          <a:spLocks/>
        </xdr:cNvSpPr>
      </xdr:nvSpPr>
      <xdr:spPr>
        <a:xfrm>
          <a:off x="2838450" y="1257300"/>
          <a:ext cx="3419475" cy="2609850"/>
        </a:xfrm>
        <a:prstGeom prst="rect">
          <a:avLst/>
        </a:prstGeom>
        <a:noFill/>
        <a:ln w="381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p>
      </xdr:txBody>
    </xdr:sp>
    <xdr:clientData/>
  </xdr:twoCellAnchor>
  <xdr:twoCellAnchor>
    <xdr:from>
      <xdr:col>8</xdr:col>
      <xdr:colOff>600075</xdr:colOff>
      <xdr:row>15</xdr:row>
      <xdr:rowOff>19050</xdr:rowOff>
    </xdr:from>
    <xdr:to>
      <xdr:col>14</xdr:col>
      <xdr:colOff>209550</xdr:colOff>
      <xdr:row>21</xdr:row>
      <xdr:rowOff>114300</xdr:rowOff>
    </xdr:to>
    <xdr:grpSp>
      <xdr:nvGrpSpPr>
        <xdr:cNvPr id="9" name="Group 10"/>
        <xdr:cNvGrpSpPr>
          <a:grpSpLocks/>
        </xdr:cNvGrpSpPr>
      </xdr:nvGrpSpPr>
      <xdr:grpSpPr>
        <a:xfrm>
          <a:off x="2905125" y="4114800"/>
          <a:ext cx="3267075" cy="1238250"/>
          <a:chOff x="2462212" y="2543175"/>
          <a:chExt cx="3605211" cy="1381125"/>
        </a:xfrm>
        <a:solidFill>
          <a:srgbClr val="FFFFFF"/>
        </a:solidFill>
      </xdr:grpSpPr>
      <xdr:graphicFrame>
        <xdr:nvGraphicFramePr>
          <xdr:cNvPr id="10" name="Chart 11"/>
          <xdr:cNvGraphicFramePr/>
        </xdr:nvGraphicFramePr>
        <xdr:xfrm>
          <a:off x="2462212" y="2543175"/>
          <a:ext cx="3599803" cy="1080040"/>
        </xdr:xfrm>
        <a:graphic>
          <a:graphicData uri="http://schemas.openxmlformats.org/drawingml/2006/chart">
            <c:chart xmlns:c="http://schemas.openxmlformats.org/drawingml/2006/chart" r:id="rId4"/>
          </a:graphicData>
        </a:graphic>
      </xdr:graphicFrame>
    </xdr:grpSp>
    <xdr:clientData/>
  </xdr:twoCellAnchor>
  <xdr:twoCellAnchor>
    <xdr:from>
      <xdr:col>8</xdr:col>
      <xdr:colOff>600075</xdr:colOff>
      <xdr:row>14</xdr:row>
      <xdr:rowOff>76200</xdr:rowOff>
    </xdr:from>
    <xdr:to>
      <xdr:col>14</xdr:col>
      <xdr:colOff>209550</xdr:colOff>
      <xdr:row>15</xdr:row>
      <xdr:rowOff>123825</xdr:rowOff>
    </xdr:to>
    <xdr:sp>
      <xdr:nvSpPr>
        <xdr:cNvPr id="11" name="TextBox 12"/>
        <xdr:cNvSpPr txBox="1">
          <a:spLocks noChangeArrowheads="1"/>
        </xdr:cNvSpPr>
      </xdr:nvSpPr>
      <xdr:spPr>
        <a:xfrm>
          <a:off x="2905125" y="3981450"/>
          <a:ext cx="3267075" cy="238125"/>
        </a:xfrm>
        <a:prstGeom prst="rect">
          <a:avLst/>
        </a:prstGeom>
        <a:solidFill>
          <a:srgbClr val="FFFFFF"/>
        </a:solidFill>
        <a:ln w="9525" cmpd="sng">
          <a:noFill/>
        </a:ln>
      </xdr:spPr>
      <xdr:txBody>
        <a:bodyPr vertOverflow="clip" wrap="square"/>
        <a:p>
          <a:pPr algn="ctr">
            <a:defRPr/>
          </a:pPr>
          <a:r>
            <a:rPr lang="en-US" cap="none" sz="1400" b="1" i="0" u="none" baseline="0">
              <a:solidFill>
                <a:srgbClr val="000000"/>
              </a:solidFill>
              <a:latin typeface="Calibri"/>
              <a:ea typeface="Calibri"/>
              <a:cs typeface="Calibri"/>
            </a:rPr>
            <a:t>Ecosystem Water Surplus</a:t>
          </a:r>
        </a:p>
      </xdr:txBody>
    </xdr:sp>
    <xdr:clientData/>
  </xdr:twoCellAnchor>
  <xdr:twoCellAnchor>
    <xdr:from>
      <xdr:col>8</xdr:col>
      <xdr:colOff>542925</xdr:colOff>
      <xdr:row>14</xdr:row>
      <xdr:rowOff>66675</xdr:rowOff>
    </xdr:from>
    <xdr:to>
      <xdr:col>14</xdr:col>
      <xdr:colOff>285750</xdr:colOff>
      <xdr:row>21</xdr:row>
      <xdr:rowOff>114300</xdr:rowOff>
    </xdr:to>
    <xdr:sp>
      <xdr:nvSpPr>
        <xdr:cNvPr id="12" name="Rectangle 13"/>
        <xdr:cNvSpPr>
          <a:spLocks/>
        </xdr:cNvSpPr>
      </xdr:nvSpPr>
      <xdr:spPr>
        <a:xfrm>
          <a:off x="2847975" y="3971925"/>
          <a:ext cx="3400425" cy="1381125"/>
        </a:xfrm>
        <a:prstGeom prst="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152400</xdr:rowOff>
    </xdr:from>
    <xdr:to>
      <xdr:col>14</xdr:col>
      <xdr:colOff>219075</xdr:colOff>
      <xdr:row>27</xdr:row>
      <xdr:rowOff>342900</xdr:rowOff>
    </xdr:to>
    <xdr:graphicFrame>
      <xdr:nvGraphicFramePr>
        <xdr:cNvPr id="13" name="Chart 14"/>
        <xdr:cNvGraphicFramePr/>
      </xdr:nvGraphicFramePr>
      <xdr:xfrm>
        <a:off x="2914650" y="5581650"/>
        <a:ext cx="3267075" cy="11430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22</xdr:row>
      <xdr:rowOff>19050</xdr:rowOff>
    </xdr:from>
    <xdr:to>
      <xdr:col>14</xdr:col>
      <xdr:colOff>219075</xdr:colOff>
      <xdr:row>23</xdr:row>
      <xdr:rowOff>104775</xdr:rowOff>
    </xdr:to>
    <xdr:sp>
      <xdr:nvSpPr>
        <xdr:cNvPr id="14" name="TextBox 15"/>
        <xdr:cNvSpPr txBox="1">
          <a:spLocks noChangeArrowheads="1"/>
        </xdr:cNvSpPr>
      </xdr:nvSpPr>
      <xdr:spPr>
        <a:xfrm>
          <a:off x="2914650" y="5448300"/>
          <a:ext cx="3267075" cy="276225"/>
        </a:xfrm>
        <a:prstGeom prst="rect">
          <a:avLst/>
        </a:prstGeom>
        <a:solidFill>
          <a:srgbClr val="FFFFFF"/>
        </a:solidFill>
        <a:ln w="9525" cmpd="sng">
          <a:noFill/>
        </a:ln>
      </xdr:spPr>
      <xdr:txBody>
        <a:bodyPr vertOverflow="clip" wrap="square"/>
        <a:p>
          <a:pPr algn="ctr">
            <a:defRPr/>
          </a:pPr>
          <a:r>
            <a:rPr lang="en-US" cap="none" sz="1400" b="1" i="0" u="none" baseline="0">
              <a:solidFill>
                <a:srgbClr val="000000"/>
              </a:solidFill>
              <a:latin typeface="Calibri"/>
              <a:ea typeface="Calibri"/>
              <a:cs typeface="Calibri"/>
            </a:rPr>
            <a:t>Ecosystem Integrity</a:t>
          </a:r>
        </a:p>
      </xdr:txBody>
    </xdr:sp>
    <xdr:clientData/>
  </xdr:twoCellAnchor>
  <xdr:twoCellAnchor>
    <xdr:from>
      <xdr:col>8</xdr:col>
      <xdr:colOff>533400</xdr:colOff>
      <xdr:row>22</xdr:row>
      <xdr:rowOff>9525</xdr:rowOff>
    </xdr:from>
    <xdr:to>
      <xdr:col>14</xdr:col>
      <xdr:colOff>285750</xdr:colOff>
      <xdr:row>29</xdr:row>
      <xdr:rowOff>47625</xdr:rowOff>
    </xdr:to>
    <xdr:sp>
      <xdr:nvSpPr>
        <xdr:cNvPr id="15" name="Rectangle 16"/>
        <xdr:cNvSpPr>
          <a:spLocks/>
        </xdr:cNvSpPr>
      </xdr:nvSpPr>
      <xdr:spPr>
        <a:xfrm>
          <a:off x="2838450" y="5438775"/>
          <a:ext cx="3409950" cy="1790700"/>
        </a:xfrm>
        <a:prstGeom prst="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247650</xdr:colOff>
      <xdr:row>9</xdr:row>
      <xdr:rowOff>95250</xdr:rowOff>
    </xdr:from>
    <xdr:to>
      <xdr:col>9</xdr:col>
      <xdr:colOff>171450</xdr:colOff>
      <xdr:row>14</xdr:row>
      <xdr:rowOff>114300</xdr:rowOff>
    </xdr:to>
    <xdr:sp>
      <xdr:nvSpPr>
        <xdr:cNvPr id="16" name="Straight Arrow Connector 17"/>
        <xdr:cNvSpPr>
          <a:spLocks/>
        </xdr:cNvSpPr>
      </xdr:nvSpPr>
      <xdr:spPr>
        <a:xfrm flipV="1">
          <a:off x="1943100" y="3048000"/>
          <a:ext cx="1143000" cy="971550"/>
        </a:xfrm>
        <a:prstGeom prst="straightConnector1">
          <a:avLst/>
        </a:prstGeom>
        <a:noFill/>
        <a:ln w="762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257175</xdr:colOff>
      <xdr:row>20</xdr:row>
      <xdr:rowOff>57150</xdr:rowOff>
    </xdr:from>
    <xdr:to>
      <xdr:col>9</xdr:col>
      <xdr:colOff>180975</xdr:colOff>
      <xdr:row>25</xdr:row>
      <xdr:rowOff>76200</xdr:rowOff>
    </xdr:to>
    <xdr:sp>
      <xdr:nvSpPr>
        <xdr:cNvPr id="17" name="Straight Arrow Connector 18"/>
        <xdr:cNvSpPr>
          <a:spLocks/>
        </xdr:cNvSpPr>
      </xdr:nvSpPr>
      <xdr:spPr>
        <a:xfrm>
          <a:off x="1952625" y="5105400"/>
          <a:ext cx="1143000" cy="971550"/>
        </a:xfrm>
        <a:prstGeom prst="straightConnector1">
          <a:avLst/>
        </a:prstGeom>
        <a:noFill/>
        <a:ln w="76200" cmpd="sng">
          <a:solidFill>
            <a:srgbClr val="00CC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323850</xdr:colOff>
      <xdr:row>17</xdr:row>
      <xdr:rowOff>38100</xdr:rowOff>
    </xdr:from>
    <xdr:to>
      <xdr:col>9</xdr:col>
      <xdr:colOff>209550</xdr:colOff>
      <xdr:row>17</xdr:row>
      <xdr:rowOff>57150</xdr:rowOff>
    </xdr:to>
    <xdr:sp>
      <xdr:nvSpPr>
        <xdr:cNvPr id="18" name="Straight Arrow Connector 19"/>
        <xdr:cNvSpPr>
          <a:spLocks/>
        </xdr:cNvSpPr>
      </xdr:nvSpPr>
      <xdr:spPr>
        <a:xfrm>
          <a:off x="2019300" y="4514850"/>
          <a:ext cx="1104900" cy="19050"/>
        </a:xfrm>
        <a:prstGeom prst="straightConnector1">
          <a:avLst/>
        </a:prstGeom>
        <a:noFill/>
        <a:ln w="76200" cmpd="sng">
          <a:solidFill>
            <a:srgbClr val="0066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57150</xdr:colOff>
      <xdr:row>27</xdr:row>
      <xdr:rowOff>219075</xdr:rowOff>
    </xdr:from>
    <xdr:to>
      <xdr:col>20</xdr:col>
      <xdr:colOff>180975</xdr:colOff>
      <xdr:row>29</xdr:row>
      <xdr:rowOff>57150</xdr:rowOff>
    </xdr:to>
    <xdr:sp>
      <xdr:nvSpPr>
        <xdr:cNvPr id="19" name="TextBox 20"/>
        <xdr:cNvSpPr txBox="1">
          <a:spLocks noChangeArrowheads="1"/>
        </xdr:cNvSpPr>
      </xdr:nvSpPr>
      <xdr:spPr>
        <a:xfrm>
          <a:off x="8458200" y="6600825"/>
          <a:ext cx="1343025" cy="638175"/>
        </a:xfrm>
        <a:prstGeom prst="rect">
          <a:avLst/>
        </a:prstGeom>
        <a:noFill/>
        <a:ln w="9525" cmpd="sng">
          <a:noFill/>
        </a:ln>
      </xdr:spPr>
      <xdr:txBody>
        <a:bodyPr vertOverflow="clip" wrap="square" lIns="0" tIns="0" rIns="0" bIns="0" anchor="ctr"/>
        <a:p>
          <a:pPr algn="l">
            <a:defRPr/>
          </a:pPr>
          <a:r>
            <a:rPr lang="en-US" cap="none" sz="1800" b="1" i="0" u="none" baseline="0">
              <a:solidFill>
                <a:srgbClr val="FFFFFF"/>
              </a:solidFill>
              <a:latin typeface="Calibri"/>
              <a:ea typeface="Calibri"/>
              <a:cs typeface="Calibri"/>
            </a:rPr>
            <a:t>Degradation:</a:t>
          </a:r>
        </a:p>
      </xdr:txBody>
    </xdr:sp>
    <xdr:clientData/>
  </xdr:twoCellAnchor>
  <xdr:twoCellAnchor>
    <xdr:from>
      <xdr:col>14</xdr:col>
      <xdr:colOff>609600</xdr:colOff>
      <xdr:row>25</xdr:row>
      <xdr:rowOff>190500</xdr:rowOff>
    </xdr:from>
    <xdr:to>
      <xdr:col>17</xdr:col>
      <xdr:colOff>600075</xdr:colOff>
      <xdr:row>29</xdr:row>
      <xdr:rowOff>47625</xdr:rowOff>
    </xdr:to>
    <xdr:sp>
      <xdr:nvSpPr>
        <xdr:cNvPr id="20" name="TextBox 21"/>
        <xdr:cNvSpPr txBox="1">
          <a:spLocks noChangeArrowheads="1"/>
        </xdr:cNvSpPr>
      </xdr:nvSpPr>
      <xdr:spPr>
        <a:xfrm>
          <a:off x="6572250" y="6191250"/>
          <a:ext cx="1819275" cy="1038225"/>
        </a:xfrm>
        <a:prstGeom prst="rect">
          <a:avLst/>
        </a:prstGeom>
        <a:noFill/>
        <a:ln w="9525" cmpd="sng">
          <a:noFill/>
        </a:ln>
      </xdr:spPr>
      <xdr:txBody>
        <a:bodyPr vertOverflow="clip" wrap="square" lIns="91440" tIns="0" rIns="91440" bIns="0"/>
        <a:p>
          <a:pPr algn="l">
            <a:defRPr/>
          </a:pPr>
          <a:r>
            <a:rPr lang="en-US" cap="none" sz="1800" b="1" i="0" u="none" baseline="0">
              <a:solidFill>
                <a:srgbClr val="000000"/>
              </a:solidFill>
              <a:latin typeface="Calibri"/>
              <a:ea typeface="Calibri"/>
              <a:cs typeface="Calibri"/>
            </a:rPr>
            <a:t>(Total Ecosystem Potential)</a:t>
          </a:r>
          <a:r>
            <a:rPr lang="en-US" cap="none" sz="1800" b="0" i="0" u="none" baseline="0">
              <a:solidFill>
                <a:srgbClr val="000000"/>
              </a:solidFill>
              <a:latin typeface="Calibri"/>
              <a:ea typeface="Calibri"/>
              <a:cs typeface="Calibri"/>
            </a:rPr>
            <a:t>
</a:t>
          </a:r>
        </a:p>
      </xdr:txBody>
    </xdr:sp>
    <xdr:clientData/>
  </xdr:twoCellAnchor>
  <xdr:twoCellAnchor>
    <xdr:from>
      <xdr:col>27</xdr:col>
      <xdr:colOff>323850</xdr:colOff>
      <xdr:row>38</xdr:row>
      <xdr:rowOff>133350</xdr:rowOff>
    </xdr:from>
    <xdr:to>
      <xdr:col>34</xdr:col>
      <xdr:colOff>104775</xdr:colOff>
      <xdr:row>42</xdr:row>
      <xdr:rowOff>19050</xdr:rowOff>
    </xdr:to>
    <xdr:sp>
      <xdr:nvSpPr>
        <xdr:cNvPr id="21" name="TextBox 22"/>
        <xdr:cNvSpPr txBox="1">
          <a:spLocks noChangeArrowheads="1"/>
        </xdr:cNvSpPr>
      </xdr:nvSpPr>
      <xdr:spPr>
        <a:xfrm>
          <a:off x="14211300" y="9286875"/>
          <a:ext cx="4048125" cy="647700"/>
        </a:xfrm>
        <a:prstGeom prst="rect">
          <a:avLst/>
        </a:prstGeom>
        <a:solidFill>
          <a:srgbClr val="FFFF99"/>
        </a:solidFill>
        <a:ln w="38100" cmpd="sng">
          <a:solidFill>
            <a:srgbClr val="BFBFBF"/>
          </a:solidFill>
          <a:headEnd type="none"/>
          <a:tailEnd type="none"/>
        </a:ln>
      </xdr:spPr>
      <xdr:txBody>
        <a:bodyPr vertOverflow="clip" wrap="square" anchor="b"/>
        <a:p>
          <a:pPr algn="l">
            <a:defRPr/>
          </a:pPr>
          <a:r>
            <a:rPr lang="en-US" cap="none" sz="1800" b="1" i="1" u="none" baseline="0">
              <a:solidFill>
                <a:srgbClr val="000000"/>
              </a:solidFill>
              <a:latin typeface="Book Antiqua"/>
              <a:ea typeface="Book Antiqua"/>
              <a:cs typeface="Book Antiqua"/>
            </a:rPr>
            <a:t>Consumption of Ecosystem Capital
</a:t>
          </a:r>
          <a:r>
            <a:rPr lang="en-US" cap="none" sz="1800" b="1" i="1" u="none" baseline="0">
              <a:solidFill>
                <a:srgbClr val="000000"/>
              </a:solidFill>
              <a:latin typeface="Book Antiqua"/>
              <a:ea typeface="Book Antiqua"/>
              <a:cs typeface="Book Antiqua"/>
            </a:rPr>
            <a:t>= New Ecological Debt</a:t>
          </a:r>
        </a:p>
      </xdr:txBody>
    </xdr:sp>
    <xdr:clientData/>
  </xdr:twoCellAnchor>
  <xdr:twoCellAnchor>
    <xdr:from>
      <xdr:col>24</xdr:col>
      <xdr:colOff>219075</xdr:colOff>
      <xdr:row>38</xdr:row>
      <xdr:rowOff>9525</xdr:rowOff>
    </xdr:from>
    <xdr:to>
      <xdr:col>27</xdr:col>
      <xdr:colOff>276225</xdr:colOff>
      <xdr:row>41</xdr:row>
      <xdr:rowOff>161925</xdr:rowOff>
    </xdr:to>
    <xdr:sp>
      <xdr:nvSpPr>
        <xdr:cNvPr id="22" name="Bent Arrow 23"/>
        <xdr:cNvSpPr>
          <a:spLocks/>
        </xdr:cNvSpPr>
      </xdr:nvSpPr>
      <xdr:spPr>
        <a:xfrm rot="10800000" flipH="1">
          <a:off x="12277725" y="9163050"/>
          <a:ext cx="1885950" cy="723900"/>
        </a:xfrm>
        <a:custGeom>
          <a:pathLst>
            <a:path h="1187736" w="1864180">
              <a:moveTo>
                <a:pt x="0" y="722640"/>
              </a:moveTo>
              <a:lnTo>
                <a:pt x="0" y="645755"/>
              </a:lnTo>
              <a:lnTo>
                <a:pt x="0" y="103776"/>
              </a:lnTo>
              <a:lnTo>
                <a:pt x="1083960" y="1187736"/>
              </a:lnTo>
              <a:lnTo>
                <a:pt x="0" y="645755"/>
              </a:lnTo>
              <a:lnTo>
                <a:pt x="541981" y="103776"/>
              </a:lnTo>
              <a:lnTo>
                <a:pt x="1629228" y="103775"/>
              </a:lnTo>
              <a:lnTo>
                <a:pt x="1629228" y="0"/>
              </a:lnTo>
              <a:lnTo>
                <a:pt x="1864180" y="250503"/>
              </a:lnTo>
              <a:close/>
            </a:path>
          </a:pathLst>
        </a:custGeom>
        <a:gradFill rotWithShape="1">
          <a:gsLst>
            <a:gs pos="0">
              <a:srgbClr val="FFFF99"/>
            </a:gs>
            <a:gs pos="50000">
              <a:srgbClr val="FFEAAC"/>
            </a:gs>
            <a:gs pos="100000">
              <a:srgbClr val="953735"/>
            </a:gs>
          </a:gsLst>
          <a:lin ang="0" scaled="1"/>
        </a:gradFill>
        <a:ln w="28575"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47625</xdr:colOff>
      <xdr:row>3</xdr:row>
      <xdr:rowOff>85725</xdr:rowOff>
    </xdr:from>
    <xdr:to>
      <xdr:col>20</xdr:col>
      <xdr:colOff>600075</xdr:colOff>
      <xdr:row>5</xdr:row>
      <xdr:rowOff>161925</xdr:rowOff>
    </xdr:to>
    <xdr:sp>
      <xdr:nvSpPr>
        <xdr:cNvPr id="23" name="TextBox 24"/>
        <xdr:cNvSpPr txBox="1">
          <a:spLocks noChangeArrowheads="1"/>
        </xdr:cNvSpPr>
      </xdr:nvSpPr>
      <xdr:spPr>
        <a:xfrm>
          <a:off x="8448675" y="657225"/>
          <a:ext cx="1771650" cy="457200"/>
        </a:xfrm>
        <a:prstGeom prst="rect">
          <a:avLst/>
        </a:prstGeom>
        <a:solidFill>
          <a:srgbClr val="953735"/>
        </a:solidFill>
        <a:ln w="38100" cmpd="sng">
          <a:solidFill>
            <a:srgbClr val="BFBFBF"/>
          </a:solidFill>
          <a:headEnd type="none"/>
          <a:tailEnd type="none"/>
        </a:ln>
      </xdr:spPr>
      <xdr:txBody>
        <a:bodyPr vertOverflow="clip" wrap="square" anchor="b"/>
        <a:p>
          <a:pPr algn="l">
            <a:defRPr/>
          </a:pPr>
          <a:r>
            <a:rPr lang="en-US" cap="none" sz="1800" b="1" i="0" u="none" baseline="0">
              <a:solidFill>
                <a:srgbClr val="FFFFFF"/>
              </a:solidFill>
              <a:latin typeface="Calibri"/>
              <a:ea typeface="Calibri"/>
              <a:cs typeface="Calibri"/>
            </a:rPr>
            <a:t>Degradation</a:t>
          </a:r>
        </a:p>
      </xdr:txBody>
    </xdr:sp>
    <xdr:clientData/>
  </xdr:twoCellAnchor>
  <xdr:twoCellAnchor>
    <xdr:from>
      <xdr:col>15</xdr:col>
      <xdr:colOff>19050</xdr:colOff>
      <xdr:row>6</xdr:row>
      <xdr:rowOff>133350</xdr:rowOff>
    </xdr:from>
    <xdr:to>
      <xdr:col>20</xdr:col>
      <xdr:colOff>581025</xdr:colOff>
      <xdr:row>29</xdr:row>
      <xdr:rowOff>104775</xdr:rowOff>
    </xdr:to>
    <xdr:grpSp>
      <xdr:nvGrpSpPr>
        <xdr:cNvPr id="24" name="Group 25"/>
        <xdr:cNvGrpSpPr>
          <a:grpSpLocks/>
        </xdr:cNvGrpSpPr>
      </xdr:nvGrpSpPr>
      <xdr:grpSpPr>
        <a:xfrm>
          <a:off x="6591300" y="1276350"/>
          <a:ext cx="3609975" cy="6010275"/>
          <a:chOff x="6810374" y="708082"/>
          <a:chExt cx="3595428" cy="4345200"/>
        </a:xfrm>
        <a:solidFill>
          <a:srgbClr val="FFFFFF"/>
        </a:solidFill>
      </xdr:grpSpPr>
      <xdr:sp>
        <xdr:nvSpPr>
          <xdr:cNvPr id="25" name="Rectangle 26"/>
          <xdr:cNvSpPr>
            <a:spLocks/>
          </xdr:cNvSpPr>
        </xdr:nvSpPr>
        <xdr:spPr>
          <a:xfrm>
            <a:off x="6810374" y="708082"/>
            <a:ext cx="1800411" cy="4345200"/>
          </a:xfrm>
          <a:prstGeom prst="rect">
            <a:avLst/>
          </a:prstGeom>
          <a:noFill/>
          <a:ln w="381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Rectangle 27"/>
          <xdr:cNvSpPr>
            <a:spLocks/>
          </xdr:cNvSpPr>
        </xdr:nvSpPr>
        <xdr:spPr>
          <a:xfrm>
            <a:off x="8605391" y="708082"/>
            <a:ext cx="1800411" cy="4345200"/>
          </a:xfrm>
          <a:prstGeom prst="rect">
            <a:avLst/>
          </a:prstGeom>
          <a:noFill/>
          <a:ln w="381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27</xdr:col>
      <xdr:colOff>314325</xdr:colOff>
      <xdr:row>31</xdr:row>
      <xdr:rowOff>0</xdr:rowOff>
    </xdr:from>
    <xdr:to>
      <xdr:col>34</xdr:col>
      <xdr:colOff>95250</xdr:colOff>
      <xdr:row>38</xdr:row>
      <xdr:rowOff>57150</xdr:rowOff>
    </xdr:to>
    <xdr:sp>
      <xdr:nvSpPr>
        <xdr:cNvPr id="27" name="Rectangle 28"/>
        <xdr:cNvSpPr>
          <a:spLocks/>
        </xdr:cNvSpPr>
      </xdr:nvSpPr>
      <xdr:spPr>
        <a:xfrm>
          <a:off x="14201775" y="7562850"/>
          <a:ext cx="4048125" cy="1647825"/>
        </a:xfrm>
        <a:prstGeom prst="rect">
          <a:avLst/>
        </a:prstGeom>
        <a:noFill/>
        <a:ln w="381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142875</xdr:colOff>
      <xdr:row>9</xdr:row>
      <xdr:rowOff>142875</xdr:rowOff>
    </xdr:from>
    <xdr:to>
      <xdr:col>15</xdr:col>
      <xdr:colOff>504825</xdr:colOff>
      <xdr:row>15</xdr:row>
      <xdr:rowOff>152400</xdr:rowOff>
    </xdr:to>
    <xdr:sp>
      <xdr:nvSpPr>
        <xdr:cNvPr id="28" name="Straight Arrow Connector 29"/>
        <xdr:cNvSpPr>
          <a:spLocks/>
        </xdr:cNvSpPr>
      </xdr:nvSpPr>
      <xdr:spPr>
        <a:xfrm rot="4920000" flipV="1">
          <a:off x="6105525" y="3095625"/>
          <a:ext cx="971550" cy="1152525"/>
        </a:xfrm>
        <a:prstGeom prst="straightConnector1">
          <a:avLst/>
        </a:prstGeom>
        <a:noFill/>
        <a:ln w="762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57150</xdr:colOff>
      <xdr:row>17</xdr:row>
      <xdr:rowOff>152400</xdr:rowOff>
    </xdr:from>
    <xdr:to>
      <xdr:col>15</xdr:col>
      <xdr:colOff>552450</xdr:colOff>
      <xdr:row>17</xdr:row>
      <xdr:rowOff>171450</xdr:rowOff>
    </xdr:to>
    <xdr:sp>
      <xdr:nvSpPr>
        <xdr:cNvPr id="29" name="Straight Arrow Connector 30"/>
        <xdr:cNvSpPr>
          <a:spLocks/>
        </xdr:cNvSpPr>
      </xdr:nvSpPr>
      <xdr:spPr>
        <a:xfrm>
          <a:off x="6019800" y="4629150"/>
          <a:ext cx="1104900" cy="19050"/>
        </a:xfrm>
        <a:prstGeom prst="straightConnector1">
          <a:avLst/>
        </a:prstGeom>
        <a:noFill/>
        <a:ln w="76200" cmpd="sng">
          <a:solidFill>
            <a:srgbClr val="0066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180975</xdr:colOff>
      <xdr:row>19</xdr:row>
      <xdr:rowOff>133350</xdr:rowOff>
    </xdr:from>
    <xdr:to>
      <xdr:col>15</xdr:col>
      <xdr:colOff>542925</xdr:colOff>
      <xdr:row>25</xdr:row>
      <xdr:rowOff>142875</xdr:rowOff>
    </xdr:to>
    <xdr:sp>
      <xdr:nvSpPr>
        <xdr:cNvPr id="30" name="Straight Arrow Connector 31"/>
        <xdr:cNvSpPr>
          <a:spLocks/>
        </xdr:cNvSpPr>
      </xdr:nvSpPr>
      <xdr:spPr>
        <a:xfrm rot="16800000">
          <a:off x="6143625" y="4991100"/>
          <a:ext cx="971550" cy="1152525"/>
        </a:xfrm>
        <a:prstGeom prst="straightConnector1">
          <a:avLst/>
        </a:prstGeom>
        <a:noFill/>
        <a:ln w="76200" cmpd="sng">
          <a:solidFill>
            <a:srgbClr val="00CC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28575</xdr:colOff>
      <xdr:row>3</xdr:row>
      <xdr:rowOff>85725</xdr:rowOff>
    </xdr:from>
    <xdr:to>
      <xdr:col>28</xdr:col>
      <xdr:colOff>9525</xdr:colOff>
      <xdr:row>5</xdr:row>
      <xdr:rowOff>161925</xdr:rowOff>
    </xdr:to>
    <xdr:sp>
      <xdr:nvSpPr>
        <xdr:cNvPr id="31" name="TextBox 32"/>
        <xdr:cNvSpPr txBox="1">
          <a:spLocks noChangeArrowheads="1"/>
        </xdr:cNvSpPr>
      </xdr:nvSpPr>
      <xdr:spPr>
        <a:xfrm>
          <a:off x="10868025" y="657225"/>
          <a:ext cx="3638550" cy="457200"/>
        </a:xfrm>
        <a:prstGeom prst="rect">
          <a:avLst/>
        </a:prstGeom>
        <a:solidFill>
          <a:srgbClr val="953735"/>
        </a:solidFill>
        <a:ln w="38100" cmpd="sng">
          <a:solidFill>
            <a:srgbClr val="BFBFBF"/>
          </a:solidFill>
          <a:headEnd type="none"/>
          <a:tailEnd type="none"/>
        </a:ln>
      </xdr:spPr>
      <xdr:txBody>
        <a:bodyPr vertOverflow="clip" wrap="square" anchor="b"/>
        <a:p>
          <a:pPr algn="l">
            <a:defRPr/>
          </a:pPr>
          <a:r>
            <a:rPr lang="en-US" cap="none" sz="1800" b="1" i="0" u="none" baseline="0">
              <a:solidFill>
                <a:srgbClr val="FFFFFF"/>
              </a:solidFill>
              <a:latin typeface="Calibri"/>
              <a:ea typeface="Calibri"/>
              <a:cs typeface="Calibri"/>
            </a:rPr>
            <a:t>Degradation by stress factors</a:t>
          </a:r>
        </a:p>
      </xdr:txBody>
    </xdr:sp>
    <xdr:clientData/>
  </xdr:twoCellAnchor>
  <xdr:twoCellAnchor>
    <xdr:from>
      <xdr:col>22</xdr:col>
      <xdr:colOff>28575</xdr:colOff>
      <xdr:row>6</xdr:row>
      <xdr:rowOff>142875</xdr:rowOff>
    </xdr:from>
    <xdr:to>
      <xdr:col>28</xdr:col>
      <xdr:colOff>66675</xdr:colOff>
      <xdr:row>29</xdr:row>
      <xdr:rowOff>76200</xdr:rowOff>
    </xdr:to>
    <xdr:grpSp>
      <xdr:nvGrpSpPr>
        <xdr:cNvPr id="32" name="Group 33"/>
        <xdr:cNvGrpSpPr>
          <a:grpSpLocks/>
        </xdr:cNvGrpSpPr>
      </xdr:nvGrpSpPr>
      <xdr:grpSpPr>
        <a:xfrm>
          <a:off x="10868025" y="1285875"/>
          <a:ext cx="3695700" cy="5972175"/>
          <a:chOff x="10754260" y="1289008"/>
          <a:chExt cx="4427149" cy="4315823"/>
        </a:xfrm>
        <a:solidFill>
          <a:srgbClr val="FFFFFF"/>
        </a:solidFill>
      </xdr:grpSpPr>
      <xdr:sp>
        <xdr:nvSpPr>
          <xdr:cNvPr id="33" name="Rectangle 34"/>
          <xdr:cNvSpPr>
            <a:spLocks/>
          </xdr:cNvSpPr>
        </xdr:nvSpPr>
        <xdr:spPr>
          <a:xfrm>
            <a:off x="10754260" y="1290087"/>
            <a:ext cx="4395052" cy="4314744"/>
          </a:xfrm>
          <a:prstGeom prst="rect">
            <a:avLst/>
          </a:prstGeom>
          <a:noFill/>
          <a:ln w="381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Rectangle 35"/>
          <xdr:cNvSpPr>
            <a:spLocks/>
          </xdr:cNvSpPr>
        </xdr:nvSpPr>
        <xdr:spPr>
          <a:xfrm>
            <a:off x="10763114" y="1289008"/>
            <a:ext cx="3802921" cy="3838925"/>
          </a:xfrm>
          <a:prstGeom prst="rect">
            <a:avLst/>
          </a:prstGeom>
          <a:noFill/>
          <a:ln w="381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Rectangle 36"/>
          <xdr:cNvSpPr>
            <a:spLocks/>
          </xdr:cNvSpPr>
        </xdr:nvSpPr>
        <xdr:spPr>
          <a:xfrm>
            <a:off x="14562715" y="5217486"/>
            <a:ext cx="618694" cy="361450"/>
          </a:xfrm>
          <a:prstGeom prst="rect">
            <a:avLst/>
          </a:prstGeom>
          <a:noFill/>
          <a:ln w="1619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209550</xdr:colOff>
      <xdr:row>3</xdr:row>
      <xdr:rowOff>95250</xdr:rowOff>
    </xdr:from>
    <xdr:to>
      <xdr:col>8</xdr:col>
      <xdr:colOff>152400</xdr:colOff>
      <xdr:row>5</xdr:row>
      <xdr:rowOff>171450</xdr:rowOff>
    </xdr:to>
    <xdr:sp>
      <xdr:nvSpPr>
        <xdr:cNvPr id="36" name="TextBox 37"/>
        <xdr:cNvSpPr txBox="1">
          <a:spLocks noChangeArrowheads="1"/>
        </xdr:cNvSpPr>
      </xdr:nvSpPr>
      <xdr:spPr>
        <a:xfrm>
          <a:off x="685800" y="666750"/>
          <a:ext cx="1771650" cy="457200"/>
        </a:xfrm>
        <a:prstGeom prst="rect">
          <a:avLst/>
        </a:prstGeom>
        <a:solidFill>
          <a:srgbClr val="F8FEFE"/>
        </a:solidFill>
        <a:ln w="38100" cmpd="sng">
          <a:solidFill>
            <a:srgbClr val="BFBFBF"/>
          </a:solidFill>
          <a:headEnd type="none"/>
          <a:tailEnd type="none"/>
        </a:ln>
      </xdr:spPr>
      <xdr:txBody>
        <a:bodyPr vertOverflow="clip" wrap="square" anchor="b"/>
        <a:p>
          <a:pPr algn="l">
            <a:defRPr/>
          </a:pPr>
          <a:r>
            <a:rPr lang="en-US" cap="none" sz="1800" b="1" i="0" u="none" baseline="0">
              <a:solidFill>
                <a:srgbClr val="000000"/>
              </a:solidFill>
              <a:latin typeface="Calibri"/>
              <a:ea typeface="Calibri"/>
              <a:cs typeface="Calibri"/>
            </a:rPr>
            <a:t>Opening Stock</a:t>
          </a:r>
        </a:p>
      </xdr:txBody>
    </xdr:sp>
    <xdr:clientData/>
  </xdr:twoCellAnchor>
  <xdr:twoCellAnchor>
    <xdr:from>
      <xdr:col>15</xdr:col>
      <xdr:colOff>19050</xdr:colOff>
      <xdr:row>3</xdr:row>
      <xdr:rowOff>85725</xdr:rowOff>
    </xdr:from>
    <xdr:to>
      <xdr:col>18</xdr:col>
      <xdr:colOff>19050</xdr:colOff>
      <xdr:row>5</xdr:row>
      <xdr:rowOff>171450</xdr:rowOff>
    </xdr:to>
    <xdr:sp>
      <xdr:nvSpPr>
        <xdr:cNvPr id="37" name="TextBox 38"/>
        <xdr:cNvSpPr txBox="1">
          <a:spLocks noChangeArrowheads="1"/>
        </xdr:cNvSpPr>
      </xdr:nvSpPr>
      <xdr:spPr>
        <a:xfrm>
          <a:off x="6591300" y="657225"/>
          <a:ext cx="1828800" cy="466725"/>
        </a:xfrm>
        <a:prstGeom prst="rect">
          <a:avLst/>
        </a:prstGeom>
        <a:solidFill>
          <a:srgbClr val="F8FEFE"/>
        </a:solidFill>
        <a:ln w="38100" cmpd="sng">
          <a:solidFill>
            <a:srgbClr val="BFBFBF"/>
          </a:solidFill>
          <a:headEnd type="none"/>
          <a:tailEnd type="none"/>
        </a:ln>
      </xdr:spPr>
      <xdr:txBody>
        <a:bodyPr vertOverflow="clip" wrap="square" anchor="b"/>
        <a:p>
          <a:pPr algn="l">
            <a:defRPr/>
          </a:pPr>
          <a:r>
            <a:rPr lang="en-US" cap="none" sz="1800" b="1" i="0" u="none" baseline="0">
              <a:solidFill>
                <a:srgbClr val="000000"/>
              </a:solidFill>
              <a:latin typeface="Calibri"/>
              <a:ea typeface="Calibri"/>
              <a:cs typeface="Calibri"/>
            </a:rPr>
            <a:t>Closing Stock</a:t>
          </a:r>
        </a:p>
      </xdr:txBody>
    </xdr:sp>
    <xdr:clientData/>
  </xdr:twoCellAnchor>
  <xdr:twoCellAnchor>
    <xdr:from>
      <xdr:col>8</xdr:col>
      <xdr:colOff>542925</xdr:colOff>
      <xdr:row>3</xdr:row>
      <xdr:rowOff>95250</xdr:rowOff>
    </xdr:from>
    <xdr:to>
      <xdr:col>14</xdr:col>
      <xdr:colOff>314325</xdr:colOff>
      <xdr:row>5</xdr:row>
      <xdr:rowOff>171450</xdr:rowOff>
    </xdr:to>
    <xdr:sp>
      <xdr:nvSpPr>
        <xdr:cNvPr id="38" name="TextBox 39"/>
        <xdr:cNvSpPr txBox="1">
          <a:spLocks noChangeArrowheads="1"/>
        </xdr:cNvSpPr>
      </xdr:nvSpPr>
      <xdr:spPr>
        <a:xfrm>
          <a:off x="2847975" y="666750"/>
          <a:ext cx="3429000" cy="457200"/>
        </a:xfrm>
        <a:prstGeom prst="rect">
          <a:avLst/>
        </a:prstGeom>
        <a:solidFill>
          <a:srgbClr val="F8FEFE"/>
        </a:solidFill>
        <a:ln w="38100" cmpd="sng">
          <a:solidFill>
            <a:srgbClr val="BFBFBF"/>
          </a:solidFill>
          <a:headEnd type="none"/>
          <a:tailEnd type="none"/>
        </a:ln>
      </xdr:spPr>
      <xdr:txBody>
        <a:bodyPr vertOverflow="clip" wrap="square" anchor="b"/>
        <a:p>
          <a:pPr algn="l">
            <a:defRPr/>
          </a:pPr>
          <a:r>
            <a:rPr lang="en-US" cap="none" sz="1800" b="1" i="0" u="none" baseline="0">
              <a:solidFill>
                <a:srgbClr val="000000"/>
              </a:solidFill>
              <a:latin typeface="Calibri"/>
              <a:ea typeface="Calibri"/>
              <a:cs typeface="Calibri"/>
            </a:rPr>
            <a:t>Change in Accessible Services</a:t>
          </a:r>
        </a:p>
      </xdr:txBody>
    </xdr:sp>
    <xdr:clientData/>
  </xdr:twoCellAnchor>
  <xdr:twoCellAnchor>
    <xdr:from>
      <xdr:col>20</xdr:col>
      <xdr:colOff>581025</xdr:colOff>
      <xdr:row>27</xdr:row>
      <xdr:rowOff>276225</xdr:rowOff>
    </xdr:from>
    <xdr:to>
      <xdr:col>22</xdr:col>
      <xdr:colOff>95250</xdr:colOff>
      <xdr:row>29</xdr:row>
      <xdr:rowOff>9525</xdr:rowOff>
    </xdr:to>
    <xdr:sp>
      <xdr:nvSpPr>
        <xdr:cNvPr id="39" name="Right Arrow 40"/>
        <xdr:cNvSpPr>
          <a:spLocks/>
        </xdr:cNvSpPr>
      </xdr:nvSpPr>
      <xdr:spPr>
        <a:xfrm>
          <a:off x="10201275" y="6657975"/>
          <a:ext cx="733425" cy="533400"/>
        </a:xfrm>
        <a:prstGeom prst="rightArrow">
          <a:avLst>
            <a:gd name="adj" fmla="val 23462"/>
          </a:avLst>
        </a:prstGeom>
        <a:solidFill>
          <a:srgbClr val="953735"/>
        </a:solidFill>
        <a:ln w="254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30</xdr:row>
      <xdr:rowOff>133350</xdr:rowOff>
    </xdr:from>
    <xdr:to>
      <xdr:col>16</xdr:col>
      <xdr:colOff>19050</xdr:colOff>
      <xdr:row>34</xdr:row>
      <xdr:rowOff>95250</xdr:rowOff>
    </xdr:to>
    <xdr:grpSp>
      <xdr:nvGrpSpPr>
        <xdr:cNvPr id="40" name="Group 47"/>
        <xdr:cNvGrpSpPr>
          <a:grpSpLocks/>
        </xdr:cNvGrpSpPr>
      </xdr:nvGrpSpPr>
      <xdr:grpSpPr>
        <a:xfrm>
          <a:off x="2000250" y="7505700"/>
          <a:ext cx="5200650" cy="723900"/>
          <a:chOff x="2063750" y="5984875"/>
          <a:chExt cx="4159249" cy="1333500"/>
        </a:xfrm>
        <a:solidFill>
          <a:srgbClr val="FFFFFF"/>
        </a:solidFill>
      </xdr:grpSpPr>
      <xdr:sp>
        <xdr:nvSpPr>
          <xdr:cNvPr id="41" name="Left-Up Arrow 48"/>
          <xdr:cNvSpPr>
            <a:spLocks/>
          </xdr:cNvSpPr>
        </xdr:nvSpPr>
        <xdr:spPr>
          <a:xfrm flipH="1">
            <a:off x="4683037" y="5984875"/>
            <a:ext cx="1539962" cy="1333500"/>
          </a:xfrm>
          <a:custGeom>
            <a:pathLst>
              <a:path h="1333500" w="1539875">
                <a:moveTo>
                  <a:pt x="0" y="1000125"/>
                </a:moveTo>
                <a:lnTo>
                  <a:pt x="333375" y="666750"/>
                </a:lnTo>
                <a:lnTo>
                  <a:pt x="333375" y="881063"/>
                </a:lnTo>
                <a:lnTo>
                  <a:pt x="1087438" y="881063"/>
                </a:lnTo>
                <a:lnTo>
                  <a:pt x="1087438" y="333375"/>
                </a:lnTo>
                <a:lnTo>
                  <a:pt x="873125" y="333375"/>
                </a:lnTo>
                <a:lnTo>
                  <a:pt x="1206500" y="0"/>
                </a:lnTo>
                <a:lnTo>
                  <a:pt x="1539875" y="333375"/>
                </a:lnTo>
                <a:lnTo>
                  <a:pt x="1325562" y="333375"/>
                </a:lnTo>
                <a:lnTo>
                  <a:pt x="1325562" y="1119187"/>
                </a:lnTo>
                <a:lnTo>
                  <a:pt x="333375" y="1119187"/>
                </a:lnTo>
                <a:lnTo>
                  <a:pt x="333375" y="1333500"/>
                </a:lnTo>
                <a:close/>
              </a:path>
            </a:pathLst>
          </a:custGeom>
          <a:solidFill>
            <a:srgbClr val="F2F2F2"/>
          </a:solidFill>
          <a:ln w="254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TextBox 49"/>
          <xdr:cNvSpPr txBox="1">
            <a:spLocks noChangeArrowheads="1"/>
          </xdr:cNvSpPr>
        </xdr:nvSpPr>
        <xdr:spPr>
          <a:xfrm>
            <a:off x="2063750" y="6397593"/>
            <a:ext cx="2667118" cy="920782"/>
          </a:xfrm>
          <a:prstGeom prst="rect">
            <a:avLst/>
          </a:prstGeom>
          <a:solidFill>
            <a:srgbClr val="FFFFFF"/>
          </a:solidFill>
          <a:ln w="9525" cmpd="sng">
            <a:noFill/>
          </a:ln>
        </xdr:spPr>
        <xdr:txBody>
          <a:bodyPr vertOverflow="clip" wrap="square"/>
          <a:p>
            <a:pPr algn="r">
              <a:defRPr/>
            </a:pPr>
            <a:r>
              <a:rPr lang="en-US" cap="none" sz="2000" b="0" i="1" u="none" baseline="0">
                <a:solidFill>
                  <a:srgbClr val="000000"/>
                </a:solidFill>
                <a:latin typeface="Calibri"/>
                <a:ea typeface="Calibri"/>
                <a:cs typeface="Calibri"/>
              </a:rPr>
              <a:t>Use sliders to change values</a:t>
            </a:r>
          </a:p>
        </xdr:txBody>
      </xdr:sp>
    </xdr:grpSp>
    <xdr:clientData/>
  </xdr:twoCellAnchor>
  <xdr:twoCellAnchor>
    <xdr:from>
      <xdr:col>22</xdr:col>
      <xdr:colOff>238125</xdr:colOff>
      <xdr:row>29</xdr:row>
      <xdr:rowOff>47625</xdr:rowOff>
    </xdr:from>
    <xdr:to>
      <xdr:col>26</xdr:col>
      <xdr:colOff>533400</xdr:colOff>
      <xdr:row>31</xdr:row>
      <xdr:rowOff>38100</xdr:rowOff>
    </xdr:to>
    <xdr:grpSp>
      <xdr:nvGrpSpPr>
        <xdr:cNvPr id="43" name="Group 41"/>
        <xdr:cNvGrpSpPr>
          <a:grpSpLocks/>
        </xdr:cNvGrpSpPr>
      </xdr:nvGrpSpPr>
      <xdr:grpSpPr>
        <a:xfrm>
          <a:off x="11077575" y="7229475"/>
          <a:ext cx="2733675" cy="371475"/>
          <a:chOff x="10890632" y="4971935"/>
          <a:chExt cx="3350965" cy="424609"/>
        </a:xfrm>
        <a:solidFill>
          <a:srgbClr val="FFFFFF"/>
        </a:solidFill>
      </xdr:grpSpPr>
      <xdr:sp>
        <xdr:nvSpPr>
          <xdr:cNvPr id="44" name="Down Arrow 42"/>
          <xdr:cNvSpPr>
            <a:spLocks/>
          </xdr:cNvSpPr>
        </xdr:nvSpPr>
        <xdr:spPr>
          <a:xfrm>
            <a:off x="10890632" y="4971935"/>
            <a:ext cx="304100" cy="424609"/>
          </a:xfrm>
          <a:prstGeom prst="downArrow">
            <a:avLst>
              <a:gd name="adj" fmla="val 14189"/>
            </a:avLst>
          </a:prstGeom>
          <a:gradFill rotWithShape="1">
            <a:gsLst>
              <a:gs pos="0">
                <a:srgbClr val="FFFF99"/>
              </a:gs>
              <a:gs pos="50000">
                <a:srgbClr val="FFEAAC"/>
              </a:gs>
              <a:gs pos="100000">
                <a:srgbClr val="953735"/>
              </a:gs>
            </a:gsLst>
            <a:lin ang="5400000" scaled="1"/>
          </a:gradFill>
          <a:ln w="254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Down Arrow 43"/>
          <xdr:cNvSpPr>
            <a:spLocks/>
          </xdr:cNvSpPr>
        </xdr:nvSpPr>
        <xdr:spPr>
          <a:xfrm>
            <a:off x="11652139" y="4971935"/>
            <a:ext cx="304100" cy="424609"/>
          </a:xfrm>
          <a:prstGeom prst="downArrow">
            <a:avLst>
              <a:gd name="adj" fmla="val 14189"/>
            </a:avLst>
          </a:prstGeom>
          <a:gradFill rotWithShape="1">
            <a:gsLst>
              <a:gs pos="0">
                <a:srgbClr val="FFFF99"/>
              </a:gs>
              <a:gs pos="50000">
                <a:srgbClr val="FFEAAC"/>
              </a:gs>
              <a:gs pos="100000">
                <a:srgbClr val="953735"/>
              </a:gs>
            </a:gsLst>
            <a:lin ang="5400000" scaled="1"/>
          </a:gradFill>
          <a:ln w="254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Down Arrow 44"/>
          <xdr:cNvSpPr>
            <a:spLocks/>
          </xdr:cNvSpPr>
        </xdr:nvSpPr>
        <xdr:spPr>
          <a:xfrm>
            <a:off x="12413646" y="4971935"/>
            <a:ext cx="304100" cy="424609"/>
          </a:xfrm>
          <a:prstGeom prst="downArrow">
            <a:avLst>
              <a:gd name="adj" fmla="val 14189"/>
            </a:avLst>
          </a:prstGeom>
          <a:gradFill rotWithShape="1">
            <a:gsLst>
              <a:gs pos="0">
                <a:srgbClr val="FFFF99"/>
              </a:gs>
              <a:gs pos="50000">
                <a:srgbClr val="FFEAAC"/>
              </a:gs>
              <a:gs pos="100000">
                <a:srgbClr val="953735"/>
              </a:gs>
            </a:gsLst>
            <a:lin ang="5400000" scaled="1"/>
          </a:gradFill>
          <a:ln w="254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Down Arrow 45"/>
          <xdr:cNvSpPr>
            <a:spLocks/>
          </xdr:cNvSpPr>
        </xdr:nvSpPr>
        <xdr:spPr>
          <a:xfrm>
            <a:off x="13175990" y="4971935"/>
            <a:ext cx="304100" cy="424609"/>
          </a:xfrm>
          <a:prstGeom prst="downArrow">
            <a:avLst>
              <a:gd name="adj" fmla="val 14189"/>
            </a:avLst>
          </a:prstGeom>
          <a:gradFill rotWithShape="1">
            <a:gsLst>
              <a:gs pos="0">
                <a:srgbClr val="FFFF99"/>
              </a:gs>
              <a:gs pos="50000">
                <a:srgbClr val="FFEAAC"/>
              </a:gs>
              <a:gs pos="100000">
                <a:srgbClr val="953735"/>
              </a:gs>
            </a:gsLst>
            <a:lin ang="5400000" scaled="1"/>
          </a:gradFill>
          <a:ln w="254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Down Arrow 46"/>
          <xdr:cNvSpPr>
            <a:spLocks/>
          </xdr:cNvSpPr>
        </xdr:nvSpPr>
        <xdr:spPr>
          <a:xfrm>
            <a:off x="13937497" y="4971935"/>
            <a:ext cx="304100" cy="424609"/>
          </a:xfrm>
          <a:prstGeom prst="downArrow">
            <a:avLst>
              <a:gd name="adj" fmla="val 14189"/>
            </a:avLst>
          </a:prstGeom>
          <a:gradFill rotWithShape="1">
            <a:gsLst>
              <a:gs pos="0">
                <a:srgbClr val="FFFF99"/>
              </a:gs>
              <a:gs pos="50000">
                <a:srgbClr val="FFEAAC"/>
              </a:gs>
              <a:gs pos="100000">
                <a:srgbClr val="953735"/>
              </a:gs>
            </a:gsLst>
            <a:lin ang="5400000" scaled="1"/>
          </a:gradFill>
          <a:ln w="254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22</xdr:col>
      <xdr:colOff>66675</xdr:colOff>
      <xdr:row>18</xdr:row>
      <xdr:rowOff>19050</xdr:rowOff>
    </xdr:from>
    <xdr:to>
      <xdr:col>27</xdr:col>
      <xdr:colOff>85725</xdr:colOff>
      <xdr:row>26</xdr:row>
      <xdr:rowOff>57150</xdr:rowOff>
    </xdr:to>
    <xdr:graphicFrame>
      <xdr:nvGraphicFramePr>
        <xdr:cNvPr id="49" name="Chart 51"/>
        <xdr:cNvGraphicFramePr/>
      </xdr:nvGraphicFramePr>
      <xdr:xfrm>
        <a:off x="10906125" y="4686300"/>
        <a:ext cx="3067050" cy="156210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11</xdr:row>
      <xdr:rowOff>161925</xdr:rowOff>
    </xdr:from>
    <xdr:to>
      <xdr:col>2</xdr:col>
      <xdr:colOff>19050</xdr:colOff>
      <xdr:row>19</xdr:row>
      <xdr:rowOff>38100</xdr:rowOff>
    </xdr:to>
    <xdr:sp>
      <xdr:nvSpPr>
        <xdr:cNvPr id="1" name="Rectangle 1"/>
        <xdr:cNvSpPr>
          <a:spLocks/>
        </xdr:cNvSpPr>
      </xdr:nvSpPr>
      <xdr:spPr>
        <a:xfrm>
          <a:off x="571500" y="3733800"/>
          <a:ext cx="4810125" cy="3390900"/>
        </a:xfrm>
        <a:prstGeom prst="rect">
          <a:avLst/>
        </a:prstGeom>
        <a:noFill/>
        <a:ln w="571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19</xdr:row>
      <xdr:rowOff>152400</xdr:rowOff>
    </xdr:from>
    <xdr:to>
      <xdr:col>2</xdr:col>
      <xdr:colOff>19050</xdr:colOff>
      <xdr:row>22</xdr:row>
      <xdr:rowOff>466725</xdr:rowOff>
    </xdr:to>
    <xdr:sp>
      <xdr:nvSpPr>
        <xdr:cNvPr id="2" name="Rectangle 2"/>
        <xdr:cNvSpPr>
          <a:spLocks/>
        </xdr:cNvSpPr>
      </xdr:nvSpPr>
      <xdr:spPr>
        <a:xfrm>
          <a:off x="571500" y="7239000"/>
          <a:ext cx="4810125" cy="1371600"/>
        </a:xfrm>
        <a:prstGeom prst="rect">
          <a:avLst/>
        </a:prstGeom>
        <a:noFill/>
        <a:ln w="571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9</xdr:row>
      <xdr:rowOff>152400</xdr:rowOff>
    </xdr:from>
    <xdr:to>
      <xdr:col>2</xdr:col>
      <xdr:colOff>38100</xdr:colOff>
      <xdr:row>11</xdr:row>
      <xdr:rowOff>28575</xdr:rowOff>
    </xdr:to>
    <xdr:sp>
      <xdr:nvSpPr>
        <xdr:cNvPr id="3" name="Rectangle 4"/>
        <xdr:cNvSpPr>
          <a:spLocks/>
        </xdr:cNvSpPr>
      </xdr:nvSpPr>
      <xdr:spPr>
        <a:xfrm>
          <a:off x="571500" y="3095625"/>
          <a:ext cx="4829175" cy="504825"/>
        </a:xfrm>
        <a:prstGeom prst="rect">
          <a:avLst/>
        </a:prstGeom>
        <a:noFill/>
        <a:ln w="571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25</xdr:row>
      <xdr:rowOff>171450</xdr:rowOff>
    </xdr:from>
    <xdr:to>
      <xdr:col>4</xdr:col>
      <xdr:colOff>28575</xdr:colOff>
      <xdr:row>27</xdr:row>
      <xdr:rowOff>28575</xdr:rowOff>
    </xdr:to>
    <xdr:sp>
      <xdr:nvSpPr>
        <xdr:cNvPr id="4" name="Rectangle 5"/>
        <xdr:cNvSpPr>
          <a:spLocks/>
        </xdr:cNvSpPr>
      </xdr:nvSpPr>
      <xdr:spPr>
        <a:xfrm>
          <a:off x="571500" y="9820275"/>
          <a:ext cx="9944100" cy="295275"/>
        </a:xfrm>
        <a:prstGeom prst="rect">
          <a:avLst/>
        </a:prstGeom>
        <a:noFill/>
        <a:ln w="571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33</xdr:row>
      <xdr:rowOff>180975</xdr:rowOff>
    </xdr:from>
    <xdr:to>
      <xdr:col>4</xdr:col>
      <xdr:colOff>9525</xdr:colOff>
      <xdr:row>35</xdr:row>
      <xdr:rowOff>38100</xdr:rowOff>
    </xdr:to>
    <xdr:sp>
      <xdr:nvSpPr>
        <xdr:cNvPr id="5" name="Rectangle 6"/>
        <xdr:cNvSpPr>
          <a:spLocks/>
        </xdr:cNvSpPr>
      </xdr:nvSpPr>
      <xdr:spPr>
        <a:xfrm>
          <a:off x="571500" y="12439650"/>
          <a:ext cx="9925050" cy="476250"/>
        </a:xfrm>
        <a:prstGeom prst="rect">
          <a:avLst/>
        </a:prstGeom>
        <a:noFill/>
        <a:ln w="571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37</xdr:row>
      <xdr:rowOff>161925</xdr:rowOff>
    </xdr:from>
    <xdr:to>
      <xdr:col>3</xdr:col>
      <xdr:colOff>4733925</xdr:colOff>
      <xdr:row>39</xdr:row>
      <xdr:rowOff>9525</xdr:rowOff>
    </xdr:to>
    <xdr:sp>
      <xdr:nvSpPr>
        <xdr:cNvPr id="6" name="Rectangle 7"/>
        <xdr:cNvSpPr>
          <a:spLocks/>
        </xdr:cNvSpPr>
      </xdr:nvSpPr>
      <xdr:spPr>
        <a:xfrm>
          <a:off x="571500" y="14182725"/>
          <a:ext cx="9896475" cy="276225"/>
        </a:xfrm>
        <a:prstGeom prst="rect">
          <a:avLst/>
        </a:prstGeom>
        <a:noFill/>
        <a:ln w="571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342900</xdr:colOff>
      <xdr:row>36</xdr:row>
      <xdr:rowOff>0</xdr:rowOff>
    </xdr:from>
    <xdr:to>
      <xdr:col>4</xdr:col>
      <xdr:colOff>28575</xdr:colOff>
      <xdr:row>37</xdr:row>
      <xdr:rowOff>9525</xdr:rowOff>
    </xdr:to>
    <xdr:sp>
      <xdr:nvSpPr>
        <xdr:cNvPr id="7" name="Rectangle 9"/>
        <xdr:cNvSpPr>
          <a:spLocks/>
        </xdr:cNvSpPr>
      </xdr:nvSpPr>
      <xdr:spPr>
        <a:xfrm>
          <a:off x="5705475" y="13068300"/>
          <a:ext cx="4810125" cy="962025"/>
        </a:xfrm>
        <a:prstGeom prst="rect">
          <a:avLst/>
        </a:prstGeom>
        <a:noFill/>
        <a:ln w="571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361950</xdr:colOff>
      <xdr:row>31</xdr:row>
      <xdr:rowOff>161925</xdr:rowOff>
    </xdr:from>
    <xdr:to>
      <xdr:col>4</xdr:col>
      <xdr:colOff>38100</xdr:colOff>
      <xdr:row>33</xdr:row>
      <xdr:rowOff>9525</xdr:rowOff>
    </xdr:to>
    <xdr:sp>
      <xdr:nvSpPr>
        <xdr:cNvPr id="8" name="Rectangle 11"/>
        <xdr:cNvSpPr>
          <a:spLocks/>
        </xdr:cNvSpPr>
      </xdr:nvSpPr>
      <xdr:spPr>
        <a:xfrm>
          <a:off x="5724525" y="11553825"/>
          <a:ext cx="4800600" cy="714375"/>
        </a:xfrm>
        <a:prstGeom prst="rect">
          <a:avLst/>
        </a:prstGeom>
        <a:noFill/>
        <a:ln w="571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27</xdr:row>
      <xdr:rowOff>180975</xdr:rowOff>
    </xdr:from>
    <xdr:to>
      <xdr:col>2</xdr:col>
      <xdr:colOff>19050</xdr:colOff>
      <xdr:row>29</xdr:row>
      <xdr:rowOff>9525</xdr:rowOff>
    </xdr:to>
    <xdr:sp>
      <xdr:nvSpPr>
        <xdr:cNvPr id="9" name="Rectangle 12"/>
        <xdr:cNvSpPr>
          <a:spLocks/>
        </xdr:cNvSpPr>
      </xdr:nvSpPr>
      <xdr:spPr>
        <a:xfrm>
          <a:off x="571500" y="10267950"/>
          <a:ext cx="4810125" cy="504825"/>
        </a:xfrm>
        <a:prstGeom prst="rect">
          <a:avLst/>
        </a:prstGeom>
        <a:noFill/>
        <a:ln w="571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29</xdr:row>
      <xdr:rowOff>161925</xdr:rowOff>
    </xdr:from>
    <xdr:to>
      <xdr:col>2</xdr:col>
      <xdr:colOff>19050</xdr:colOff>
      <xdr:row>31</xdr:row>
      <xdr:rowOff>28575</xdr:rowOff>
    </xdr:to>
    <xdr:sp>
      <xdr:nvSpPr>
        <xdr:cNvPr id="10" name="Rectangle 13"/>
        <xdr:cNvSpPr>
          <a:spLocks/>
        </xdr:cNvSpPr>
      </xdr:nvSpPr>
      <xdr:spPr>
        <a:xfrm>
          <a:off x="571500" y="10925175"/>
          <a:ext cx="4810125" cy="495300"/>
        </a:xfrm>
        <a:prstGeom prst="rect">
          <a:avLst/>
        </a:prstGeom>
        <a:noFill/>
        <a:ln w="571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590550</xdr:colOff>
      <xdr:row>23</xdr:row>
      <xdr:rowOff>152400</xdr:rowOff>
    </xdr:from>
    <xdr:to>
      <xdr:col>2</xdr:col>
      <xdr:colOff>38100</xdr:colOff>
      <xdr:row>25</xdr:row>
      <xdr:rowOff>9525</xdr:rowOff>
    </xdr:to>
    <xdr:sp>
      <xdr:nvSpPr>
        <xdr:cNvPr id="11" name="Rectangle 14"/>
        <xdr:cNvSpPr>
          <a:spLocks/>
        </xdr:cNvSpPr>
      </xdr:nvSpPr>
      <xdr:spPr>
        <a:xfrm>
          <a:off x="590550" y="8772525"/>
          <a:ext cx="4810125" cy="885825"/>
        </a:xfrm>
        <a:prstGeom prst="rect">
          <a:avLst/>
        </a:prstGeom>
        <a:noFill/>
        <a:ln w="571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581025</xdr:colOff>
      <xdr:row>7</xdr:row>
      <xdr:rowOff>123825</xdr:rowOff>
    </xdr:from>
    <xdr:to>
      <xdr:col>2</xdr:col>
      <xdr:colOff>28575</xdr:colOff>
      <xdr:row>9</xdr:row>
      <xdr:rowOff>9525</xdr:rowOff>
    </xdr:to>
    <xdr:sp>
      <xdr:nvSpPr>
        <xdr:cNvPr id="12" name="Rectangle 16"/>
        <xdr:cNvSpPr>
          <a:spLocks/>
        </xdr:cNvSpPr>
      </xdr:nvSpPr>
      <xdr:spPr>
        <a:xfrm>
          <a:off x="581025" y="1990725"/>
          <a:ext cx="4810125" cy="962025"/>
        </a:xfrm>
        <a:prstGeom prst="rect">
          <a:avLst/>
        </a:prstGeom>
        <a:noFill/>
        <a:ln w="571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5</xdr:row>
      <xdr:rowOff>381000</xdr:rowOff>
    </xdr:from>
    <xdr:to>
      <xdr:col>2</xdr:col>
      <xdr:colOff>19050</xdr:colOff>
      <xdr:row>6</xdr:row>
      <xdr:rowOff>466725</xdr:rowOff>
    </xdr:to>
    <xdr:sp>
      <xdr:nvSpPr>
        <xdr:cNvPr id="13" name="Rectangle 18"/>
        <xdr:cNvSpPr>
          <a:spLocks/>
        </xdr:cNvSpPr>
      </xdr:nvSpPr>
      <xdr:spPr>
        <a:xfrm>
          <a:off x="571500" y="1362075"/>
          <a:ext cx="4810125" cy="495300"/>
        </a:xfrm>
        <a:prstGeom prst="rect">
          <a:avLst/>
        </a:prstGeom>
        <a:noFill/>
        <a:ln w="571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1</xdr:row>
      <xdr:rowOff>0</xdr:rowOff>
    </xdr:from>
    <xdr:to>
      <xdr:col>2</xdr:col>
      <xdr:colOff>19050</xdr:colOff>
      <xdr:row>3</xdr:row>
      <xdr:rowOff>9525</xdr:rowOff>
    </xdr:to>
    <xdr:sp>
      <xdr:nvSpPr>
        <xdr:cNvPr id="14" name="Rectangle 19"/>
        <xdr:cNvSpPr>
          <a:spLocks/>
        </xdr:cNvSpPr>
      </xdr:nvSpPr>
      <xdr:spPr>
        <a:xfrm>
          <a:off x="571500" y="200025"/>
          <a:ext cx="4810125" cy="485775"/>
        </a:xfrm>
        <a:prstGeom prst="rect">
          <a:avLst/>
        </a:prstGeom>
        <a:noFill/>
        <a:ln w="571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371475</xdr:colOff>
      <xdr:row>5</xdr:row>
      <xdr:rowOff>381000</xdr:rowOff>
    </xdr:from>
    <xdr:to>
      <xdr:col>4</xdr:col>
      <xdr:colOff>19050</xdr:colOff>
      <xdr:row>6</xdr:row>
      <xdr:rowOff>466725</xdr:rowOff>
    </xdr:to>
    <xdr:sp>
      <xdr:nvSpPr>
        <xdr:cNvPr id="15" name="Rectangle 21"/>
        <xdr:cNvSpPr>
          <a:spLocks/>
        </xdr:cNvSpPr>
      </xdr:nvSpPr>
      <xdr:spPr>
        <a:xfrm>
          <a:off x="5734050" y="1371600"/>
          <a:ext cx="4772025" cy="495300"/>
        </a:xfrm>
        <a:prstGeom prst="rect">
          <a:avLst/>
        </a:prstGeom>
        <a:noFill/>
        <a:ln w="571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GB_slider_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gradation&amp;depreciation mockup"/>
    </sheetNames>
    <sheetDataSet>
      <sheetData sheetId="0">
        <row r="4">
          <cell r="C4" t="str">
            <v>TEP</v>
          </cell>
        </row>
        <row r="5">
          <cell r="B5">
            <v>90</v>
          </cell>
          <cell r="C5">
            <v>85</v>
          </cell>
        </row>
        <row r="6">
          <cell r="B6">
            <v>90</v>
          </cell>
          <cell r="C6">
            <v>15</v>
          </cell>
        </row>
        <row r="7">
          <cell r="B7">
            <v>70</v>
          </cell>
        </row>
        <row r="28">
          <cell r="W28">
            <v>3.571428571428571</v>
          </cell>
          <cell r="X28">
            <v>5.170438181818183</v>
          </cell>
          <cell r="Y28">
            <v>1.2352941176470587</v>
          </cell>
          <cell r="Z28">
            <v>0.7371248433919018</v>
          </cell>
          <cell r="AA28">
            <v>4.2857142857142865</v>
          </cell>
        </row>
        <row r="38">
          <cell r="W38">
            <v>1292.3620948051948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ea.europa.eu/publications/an-experimental-framework-for-ecosyste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19"/>
  <sheetViews>
    <sheetView showGridLines="0" tabSelected="1" zoomScalePageLayoutView="0" workbookViewId="0" topLeftCell="A1">
      <selection activeCell="C21" sqref="C21"/>
    </sheetView>
  </sheetViews>
  <sheetFormatPr defaultColWidth="9.140625" defaultRowHeight="15"/>
  <cols>
    <col min="1" max="1" width="5.7109375" style="93" customWidth="1"/>
    <col min="2" max="2" width="24.140625" style="0" customWidth="1"/>
    <col min="3" max="3" width="118.140625" style="0" customWidth="1"/>
  </cols>
  <sheetData>
    <row r="2" ht="21">
      <c r="B2" s="1161" t="s">
        <v>932</v>
      </c>
    </row>
    <row r="4" ht="16.5" thickBot="1">
      <c r="C4" s="1159" t="s">
        <v>928</v>
      </c>
    </row>
    <row r="5" ht="15">
      <c r="C5" s="1156" t="s">
        <v>929</v>
      </c>
    </row>
    <row r="6" ht="15">
      <c r="C6" s="1154"/>
    </row>
    <row r="7" ht="74.25" customHeight="1">
      <c r="C7" s="1157" t="s">
        <v>936</v>
      </c>
    </row>
    <row r="8" ht="15">
      <c r="C8" s="1158" t="s">
        <v>930</v>
      </c>
    </row>
    <row r="9" ht="15">
      <c r="C9" s="1160" t="s">
        <v>931</v>
      </c>
    </row>
    <row r="12" ht="18.75">
      <c r="B12" s="50" t="s">
        <v>933</v>
      </c>
    </row>
    <row r="13" ht="15">
      <c r="C13" s="93" t="s">
        <v>934</v>
      </c>
    </row>
    <row r="14" ht="4.5" customHeight="1"/>
    <row r="15" ht="15">
      <c r="C15" s="93" t="s">
        <v>937</v>
      </c>
    </row>
    <row r="16" ht="4.5" customHeight="1"/>
    <row r="17" ht="30">
      <c r="C17" s="1155" t="s">
        <v>938</v>
      </c>
    </row>
    <row r="18" ht="4.5" customHeight="1"/>
    <row r="19" ht="15">
      <c r="C19" s="93" t="s">
        <v>935</v>
      </c>
    </row>
  </sheetData>
  <sheetProtection/>
  <hyperlinks>
    <hyperlink ref="C9" r:id="rId1" display="http://www.eea.europa.eu/publications/an-experimental-framework-for-ecosystem"/>
  </hyperlinks>
  <printOptions/>
  <pageMargins left="0.7" right="0.7" top="0.75" bottom="0.75" header="0.3" footer="0.3"/>
  <pageSetup orientation="portrait" paperSize="9"/>
  <drawing r:id="rId2"/>
</worksheet>
</file>

<file path=xl/worksheets/sheet10.xml><?xml version="1.0" encoding="utf-8"?>
<worksheet xmlns="http://schemas.openxmlformats.org/spreadsheetml/2006/main" xmlns:r="http://schemas.openxmlformats.org/officeDocument/2006/relationships">
  <dimension ref="A1:Q60"/>
  <sheetViews>
    <sheetView showZeros="0" zoomScale="60" zoomScaleNormal="60" zoomScalePageLayoutView="0" workbookViewId="0" topLeftCell="A1">
      <selection activeCell="A3" sqref="A3:Q59"/>
    </sheetView>
  </sheetViews>
  <sheetFormatPr defaultColWidth="9.140625" defaultRowHeight="15"/>
  <cols>
    <col min="1" max="1" width="15.8515625" style="0" customWidth="1"/>
    <col min="2" max="2" width="99.7109375" style="0" customWidth="1"/>
    <col min="3" max="3" width="12.421875" style="0" customWidth="1"/>
    <col min="4" max="4" width="13.7109375" style="0" customWidth="1"/>
    <col min="5" max="5" width="14.8515625" style="0" customWidth="1"/>
    <col min="6" max="6" width="11.7109375" style="0" customWidth="1"/>
    <col min="7" max="7" width="13.8515625" style="0" customWidth="1"/>
    <col min="8" max="9" width="12.57421875" style="0" customWidth="1"/>
    <col min="10" max="10" width="14.140625" style="0" customWidth="1"/>
    <col min="11" max="11" width="15.00390625" style="0" customWidth="1"/>
    <col min="12" max="12" width="12.00390625" style="0" customWidth="1"/>
    <col min="13" max="13" width="14.140625" style="0" customWidth="1"/>
    <col min="14" max="14" width="12.00390625" style="0" customWidth="1"/>
    <col min="15" max="15" width="12.7109375" style="0" customWidth="1"/>
    <col min="16" max="17" width="17.7109375" style="0" customWidth="1"/>
  </cols>
  <sheetData>
    <row r="1" ht="15">
      <c r="A1" t="str">
        <f>'Table E - Biodiversity'!A1</f>
        <v>SECA - Simplified Ecosystem Capital Accounts</v>
      </c>
    </row>
    <row r="2" ht="15.75" thickBot="1">
      <c r="A2" s="93" t="str">
        <f>'Table E - Biodiversity'!A2</f>
        <v>Draft Tables and Mock-up</v>
      </c>
    </row>
    <row r="3" spans="1:17" ht="15">
      <c r="A3" s="1036" t="str">
        <f>Ref_table!A246</f>
        <v>[F1] Ecosystem Total Potential Account,                                                                                                       Net Change in Ecosystem Potential Unit Equivalents (EPUE)                                                                              &amp; Ecosystem Capital Degradation (ECD)</v>
      </c>
      <c r="B3" s="1037">
        <f>Ref_table!B246</f>
        <v>0</v>
      </c>
      <c r="C3" s="1045" t="str">
        <f>Ref_table!C246</f>
        <v>Inland ecosytem landscapes</v>
      </c>
      <c r="D3" s="1046">
        <f>Ref_table!D246</f>
        <v>0</v>
      </c>
      <c r="E3" s="1046">
        <f>Ref_table!E246</f>
        <v>0</v>
      </c>
      <c r="F3" s="1046">
        <f>Ref_table!F246</f>
        <v>0</v>
      </c>
      <c r="G3" s="1046">
        <f>Ref_table!G246</f>
        <v>0</v>
      </c>
      <c r="H3" s="1046">
        <f>Ref_table!H246</f>
        <v>0</v>
      </c>
      <c r="I3" s="1046">
        <f>Ref_table!I246</f>
        <v>0</v>
      </c>
      <c r="J3" s="1047">
        <f>Ref_table!J246</f>
        <v>0</v>
      </c>
      <c r="K3" s="1042" t="str">
        <f>Ref_table!K246</f>
        <v>TOTAL 1  inland ecosystems</v>
      </c>
      <c r="L3" s="1055" t="str">
        <f>Ref_table!L246</f>
        <v>Sea</v>
      </c>
      <c r="M3" s="1046">
        <f>Ref_table!M246</f>
        <v>0</v>
      </c>
      <c r="N3" s="1046">
        <f>Ref_table!N246</f>
        <v>0</v>
      </c>
      <c r="O3" s="1046">
        <f>Ref_table!O246</f>
        <v>0</v>
      </c>
      <c r="P3" s="652" t="str">
        <f>Ref_table!P246</f>
        <v>Atmosphere</v>
      </c>
      <c r="Q3" s="1119" t="str">
        <f>Ref_table!Q246</f>
        <v>GRAND TOTAL</v>
      </c>
    </row>
    <row r="4" spans="1:17" ht="120">
      <c r="A4" s="1038">
        <f>Ref_table!A247</f>
        <v>0</v>
      </c>
      <c r="B4" s="1039">
        <f>Ref_table!B247</f>
        <v>0</v>
      </c>
      <c r="C4" s="286" t="str">
        <f>Ref_table!C247</f>
        <v>Dominant urban landscape</v>
      </c>
      <c r="D4" s="286" t="str">
        <f>Ref_table!D247</f>
        <v>Dominant agriculture/ cropland</v>
      </c>
      <c r="E4" s="286" t="str">
        <f>Ref_table!E247</f>
        <v>Dominant agriculture/ mixed landscape</v>
      </c>
      <c r="F4" s="286" t="str">
        <f>Ref_table!F247</f>
        <v>Dominant forested landscape</v>
      </c>
      <c r="G4" s="286" t="str">
        <f>Ref_table!G247</f>
        <v>Other dominant natural landscape</v>
      </c>
      <c r="H4" s="286" t="str">
        <f>Ref_table!H247</f>
        <v>Composite landscape</v>
      </c>
      <c r="I4" s="1109" t="str">
        <f>Ref_table!I247</f>
        <v>TOT Land</v>
      </c>
      <c r="J4" s="1115" t="str">
        <f>Ref_table!J247</f>
        <v>Rivers       [proxy 1 = 10^3 srkm;       (proxy 2 = exergy)]</v>
      </c>
      <c r="K4" s="1043">
        <f>Ref_table!K247</f>
        <v>0</v>
      </c>
      <c r="L4" s="323" t="str">
        <f>Ref_table!L247</f>
        <v>Fisheries (EEZ, all fishing areas)</v>
      </c>
      <c r="M4" s="1027" t="str">
        <f>Ref_table!M247</f>
        <v>International</v>
      </c>
      <c r="N4" s="1117" t="str">
        <f>Ref_table!N247</f>
        <v>TOTAL  Fisheries</v>
      </c>
      <c r="O4" s="651" t="str">
        <f>Ref_table!O247</f>
        <v>Regulation potential    (C sequestration)</v>
      </c>
      <c r="P4" s="400" t="str">
        <f>Ref_table!P247</f>
        <v>Regulation potential         (2 degrees or 220 ppm CO2-e)</v>
      </c>
      <c r="Q4" s="1120">
        <f>Ref_table!Q247</f>
        <v>0</v>
      </c>
    </row>
    <row r="5" spans="1:17" ht="15.75" thickBot="1">
      <c r="A5" s="1040">
        <f>Ref_table!A248</f>
        <v>0</v>
      </c>
      <c r="B5" s="1041">
        <f>Ref_table!B248</f>
        <v>0</v>
      </c>
      <c r="C5" s="1112" t="str">
        <f>Ref_table!C248</f>
        <v>10^3 EAC weighted tonnes of C [proxy t1 = b47*B8] [proxy t10 = b47*B9]</v>
      </c>
      <c r="D5" s="1113">
        <f>Ref_table!D248</f>
        <v>0</v>
      </c>
      <c r="E5" s="1113">
        <f>Ref_table!E248</f>
        <v>0</v>
      </c>
      <c r="F5" s="1113">
        <f>Ref_table!F248</f>
        <v>0</v>
      </c>
      <c r="G5" s="1113">
        <f>Ref_table!G248</f>
        <v>0</v>
      </c>
      <c r="H5" s="1114">
        <f>Ref_table!H248</f>
        <v>0</v>
      </c>
      <c r="I5" s="1110">
        <f>Ref_table!I248</f>
        <v>0</v>
      </c>
      <c r="J5" s="1116">
        <f>Ref_table!J248</f>
        <v>0</v>
      </c>
      <c r="K5" s="1044">
        <f>Ref_table!K248</f>
        <v>0</v>
      </c>
      <c r="L5" s="1122" t="str">
        <f>Ref_table!L248</f>
        <v>10^3 EAC weighted tonnes</v>
      </c>
      <c r="M5" s="1123">
        <f>Ref_table!M248</f>
        <v>0</v>
      </c>
      <c r="N5" s="1118">
        <f>Ref_table!N248</f>
        <v>0</v>
      </c>
      <c r="O5" s="641" t="str">
        <f>Ref_table!O248</f>
        <v>10^3 tonnes</v>
      </c>
      <c r="P5" s="653" t="str">
        <f>Ref_table!P248</f>
        <v>10^3 tonnes</v>
      </c>
      <c r="Q5" s="1121">
        <f>Ref_table!Q248</f>
        <v>0</v>
      </c>
    </row>
    <row r="6" spans="1:17" ht="15.75">
      <c r="A6" s="1108" t="str">
        <f>Ref_table!A249</f>
        <v>Total Inland, Sea and Atmosphere Ecosystem Potential (NEACS &amp; REP)</v>
      </c>
      <c r="B6" s="1063">
        <f>Ref_table!B249</f>
        <v>0</v>
      </c>
      <c r="C6" s="1063">
        <f>Ref_table!C249</f>
        <v>0</v>
      </c>
      <c r="D6" s="1063">
        <f>Ref_table!D249</f>
        <v>0</v>
      </c>
      <c r="E6" s="1063">
        <f>Ref_table!E249</f>
        <v>0</v>
      </c>
      <c r="F6" s="1063">
        <f>Ref_table!F249</f>
        <v>0</v>
      </c>
      <c r="G6" s="1063">
        <f>Ref_table!G249</f>
        <v>0</v>
      </c>
      <c r="H6" s="1063">
        <f>Ref_table!H249</f>
        <v>0</v>
      </c>
      <c r="I6" s="1063">
        <f>Ref_table!I249</f>
        <v>0</v>
      </c>
      <c r="J6" s="1063">
        <f>Ref_table!J249</f>
        <v>0</v>
      </c>
      <c r="K6" s="1063">
        <f>Ref_table!K249</f>
        <v>0</v>
      </c>
      <c r="L6" s="1063">
        <f>Ref_table!L249</f>
        <v>0</v>
      </c>
      <c r="M6" s="1063">
        <f>Ref_table!M249</f>
        <v>0</v>
      </c>
      <c r="N6" s="1063">
        <f>Ref_table!N249</f>
        <v>0</v>
      </c>
      <c r="O6" s="1063">
        <f>Ref_table!O249</f>
        <v>0</v>
      </c>
      <c r="P6" s="1063">
        <f>Ref_table!P249</f>
        <v>0</v>
      </c>
      <c r="Q6" s="1064">
        <f>Ref_table!Q249</f>
        <v>0</v>
      </c>
    </row>
    <row r="7" spans="1:17" ht="15.75">
      <c r="A7" s="659" t="str">
        <f>Ref_table!A250</f>
        <v>F1 = B7+D19</v>
      </c>
      <c r="B7" s="660" t="str">
        <f>Ref_table!B250</f>
        <v>Total Inland, Sea and Atmosphere Ecosystem Potential (NEACS &amp; REP) t1 (~1995) </v>
      </c>
      <c r="C7" s="661">
        <f>Ref_table!C250</f>
        <v>66172.5</v>
      </c>
      <c r="D7" s="661">
        <f>Ref_table!D250</f>
        <v>250580</v>
      </c>
      <c r="E7" s="661">
        <f>Ref_table!E250</f>
        <v>272849.99999999994</v>
      </c>
      <c r="F7" s="661">
        <f>Ref_table!F250</f>
        <v>350450</v>
      </c>
      <c r="G7" s="661">
        <f>Ref_table!G250</f>
        <v>82810</v>
      </c>
      <c r="H7" s="661">
        <f>Ref_table!H250</f>
        <v>249900</v>
      </c>
      <c r="I7" s="661">
        <f>Ref_table!I250</f>
        <v>1272762.5</v>
      </c>
      <c r="J7" s="661">
        <f>Ref_table!J250</f>
        <v>63259.58508127816</v>
      </c>
      <c r="K7" s="662">
        <f>Ref_table!K250</f>
        <v>1336022.085081278</v>
      </c>
      <c r="L7" s="663">
        <f>Ref_table!L250</f>
        <v>12031.200000000003</v>
      </c>
      <c r="M7" s="664">
        <f>Ref_table!M250</f>
        <v>2406.2400000000007</v>
      </c>
      <c r="N7" s="664">
        <f>Ref_table!N250</f>
        <v>14437.440000000002</v>
      </c>
      <c r="O7" s="308">
        <f>Ref_table!O250</f>
        <v>0</v>
      </c>
      <c r="P7" s="672">
        <f>Ref_table!P250</f>
        <v>13717071.9</v>
      </c>
      <c r="Q7" s="680">
        <f>Ref_table!Q250</f>
        <v>15067531.42508128</v>
      </c>
    </row>
    <row r="8" spans="1:17" ht="15.75">
      <c r="A8" s="413" t="str">
        <f>Ref_table!A251</f>
        <v>F2 = B8+D20</v>
      </c>
      <c r="B8" s="574" t="str">
        <f>Ref_table!B251</f>
        <v>Total Inland, Sea and Atmosphere Ecosystem Potential (NEACS &amp; REP) t10 (~2005)</v>
      </c>
      <c r="C8" s="410">
        <f>Ref_table!C251</f>
        <v>58387.49999999999</v>
      </c>
      <c r="D8" s="410">
        <f>Ref_table!D251</f>
        <v>239190</v>
      </c>
      <c r="E8" s="410">
        <f>Ref_table!E251</f>
        <v>256800</v>
      </c>
      <c r="F8" s="410">
        <f>Ref_table!F251</f>
        <v>370825</v>
      </c>
      <c r="G8" s="410">
        <f>Ref_table!G251</f>
        <v>80990</v>
      </c>
      <c r="H8" s="410">
        <f>Ref_table!H251</f>
        <v>208739.99999999997</v>
      </c>
      <c r="I8" s="410">
        <f>Ref_table!I251</f>
        <v>1214932.5</v>
      </c>
      <c r="J8" s="410">
        <f>Ref_table!J251</f>
        <v>58817.352453087835</v>
      </c>
      <c r="K8" s="593">
        <f>Ref_table!K251</f>
        <v>1273749.852453088</v>
      </c>
      <c r="L8" s="414">
        <f>Ref_table!L251</f>
        <v>4989.5999999999985</v>
      </c>
      <c r="M8" s="433">
        <f>Ref_table!M251</f>
        <v>997.92</v>
      </c>
      <c r="N8" s="433">
        <f>Ref_table!N251</f>
        <v>5987.519999999999</v>
      </c>
      <c r="O8" s="596">
        <f>Ref_table!O251</f>
        <v>0</v>
      </c>
      <c r="P8" s="672">
        <f>Ref_table!P251</f>
        <v>12509969.572800001</v>
      </c>
      <c r="Q8" s="431">
        <f>Ref_table!Q251</f>
        <v>13789706.94525309</v>
      </c>
    </row>
    <row r="9" spans="1:17" ht="15.75" thickBot="1">
      <c r="A9" s="244" t="str">
        <f>Ref_table!A252</f>
        <v>(F2-F1)/10</v>
      </c>
      <c r="B9" s="245" t="str">
        <f>Ref_table!B252</f>
        <v>Mean net annual change in NEACS_REP [(B8D11-B7D10)/10]</v>
      </c>
      <c r="C9" s="246">
        <f>Ref_table!C252</f>
        <v>-778.5000000000007</v>
      </c>
      <c r="D9" s="246">
        <f>Ref_table!D252</f>
        <v>-1139</v>
      </c>
      <c r="E9" s="246">
        <f>Ref_table!E252</f>
        <v>-1604.999999999994</v>
      </c>
      <c r="F9" s="246">
        <f>Ref_table!F252</f>
        <v>2037.5</v>
      </c>
      <c r="G9" s="246">
        <f>Ref_table!G252</f>
        <v>-182</v>
      </c>
      <c r="H9" s="246">
        <f>Ref_table!H252</f>
        <v>-4116.000000000003</v>
      </c>
      <c r="I9" s="356">
        <f>Ref_table!I252</f>
        <v>-5782.999999999997</v>
      </c>
      <c r="J9" s="246">
        <f>Ref_table!J252</f>
        <v>-4442.232628190322</v>
      </c>
      <c r="K9" s="246">
        <f>Ref_table!K252</f>
        <v>-62272.23262819019</v>
      </c>
      <c r="L9" s="324">
        <f>Ref_table!L252</f>
        <v>-704.1600000000004</v>
      </c>
      <c r="M9" s="325">
        <f>Ref_table!M252</f>
        <v>-140.83200000000005</v>
      </c>
      <c r="N9" s="127">
        <f>Ref_table!N252</f>
        <v>-844.9920000000004</v>
      </c>
      <c r="O9" s="654">
        <f>Ref_table!O252</f>
        <v>0</v>
      </c>
      <c r="P9" s="655">
        <f>Ref_table!P252</f>
        <v>-120710.23271999993</v>
      </c>
      <c r="Q9" s="431">
        <f>Ref_table!Q252</f>
        <v>-183827.45734819013</v>
      </c>
    </row>
    <row r="10" spans="1:17" ht="15.75">
      <c r="A10" s="1062" t="str">
        <f>Ref_table!A253</f>
        <v>Limiting factors to C access: access to other services and maintenance of ecosystem functions</v>
      </c>
      <c r="B10" s="1063">
        <f>Ref_table!B253</f>
        <v>0</v>
      </c>
      <c r="C10" s="1063">
        <f>Ref_table!C253</f>
        <v>0</v>
      </c>
      <c r="D10" s="1063">
        <f>Ref_table!D253</f>
        <v>0</v>
      </c>
      <c r="E10" s="1063">
        <f>Ref_table!E253</f>
        <v>0</v>
      </c>
      <c r="F10" s="1063">
        <f>Ref_table!F253</f>
        <v>0</v>
      </c>
      <c r="G10" s="1063">
        <f>Ref_table!G253</f>
        <v>0</v>
      </c>
      <c r="H10" s="1063">
        <f>Ref_table!H253</f>
        <v>0</v>
      </c>
      <c r="I10" s="1063">
        <f>Ref_table!I253</f>
        <v>0</v>
      </c>
      <c r="J10" s="1063">
        <f>Ref_table!J253</f>
        <v>0</v>
      </c>
      <c r="K10" s="1063">
        <f>Ref_table!K253</f>
        <v>0</v>
      </c>
      <c r="L10" s="1063">
        <f>Ref_table!L253</f>
        <v>0</v>
      </c>
      <c r="M10" s="1063">
        <f>Ref_table!M253</f>
        <v>0</v>
      </c>
      <c r="N10" s="1063">
        <f>Ref_table!N253</f>
        <v>0</v>
      </c>
      <c r="O10" s="1063">
        <f>Ref_table!O253</f>
        <v>0</v>
      </c>
      <c r="P10" s="1060">
        <f>Ref_table!P253</f>
        <v>0</v>
      </c>
      <c r="Q10" s="1061">
        <f>Ref_table!Q253</f>
        <v>0</v>
      </c>
    </row>
    <row r="11" spans="1:17" ht="15">
      <c r="A11" s="71" t="str">
        <f>Ref_table!A254</f>
        <v>C13</v>
      </c>
      <c r="B11" s="92" t="str">
        <f>Ref_table!B254</f>
        <v>Ecosystem Accessible Water Surplus index t1 (~1995), [((C11-C9)/C9))*100]</v>
      </c>
      <c r="C11" s="58">
        <f>Ref_table!C254</f>
        <v>49.72081810523834</v>
      </c>
      <c r="D11" s="58">
        <f>Ref_table!D254</f>
        <v>36.60621385863057</v>
      </c>
      <c r="E11" s="58">
        <f>Ref_table!E254</f>
        <v>82.81122848461588</v>
      </c>
      <c r="F11" s="58">
        <f>Ref_table!F254</f>
        <v>78.04010914527942</v>
      </c>
      <c r="G11" s="58">
        <f>Ref_table!G254</f>
        <v>91.1798237058832</v>
      </c>
      <c r="H11" s="58">
        <f>Ref_table!H254</f>
        <v>93.7426157504282</v>
      </c>
      <c r="I11" s="276">
        <f>Ref_table!I254</f>
        <v>77.93210731202103</v>
      </c>
      <c r="J11" s="281">
        <f>Ref_table!J254</f>
        <v>0</v>
      </c>
      <c r="K11" s="194">
        <f>Ref_table!K254</f>
        <v>77.93210731202103</v>
      </c>
      <c r="L11" s="316">
        <f>Ref_table!L254</f>
        <v>0</v>
      </c>
      <c r="M11" s="316">
        <f>Ref_table!M254</f>
        <v>0</v>
      </c>
      <c r="N11" s="316">
        <f>Ref_table!N254</f>
        <v>0</v>
      </c>
      <c r="O11" s="302">
        <f>Ref_table!O254</f>
        <v>0</v>
      </c>
      <c r="P11" s="388">
        <f>Ref_table!P254</f>
        <v>0</v>
      </c>
      <c r="Q11" s="508">
        <f>Ref_table!Q254</f>
        <v>0</v>
      </c>
    </row>
    <row r="12" spans="1:17" ht="15">
      <c r="A12" s="71" t="str">
        <f>Ref_table!A255</f>
        <v>D7</v>
      </c>
      <c r="B12" s="19" t="str">
        <f>Ref_table!B255</f>
        <v>Mean Landscape Ecosystem Potential (LEP) by km^2, t1 (~1995), 0-100 scale</v>
      </c>
      <c r="C12" s="58">
        <f>Ref_table!C255</f>
        <v>2.8129428403291143</v>
      </c>
      <c r="D12" s="58">
        <f>Ref_table!D255</f>
        <v>21.552974464231127</v>
      </c>
      <c r="E12" s="58">
        <f>Ref_table!E255</f>
        <v>20.28558916401722</v>
      </c>
      <c r="F12" s="58">
        <f>Ref_table!F255</f>
        <v>31.35300847735852</v>
      </c>
      <c r="G12" s="58">
        <f>Ref_table!G255</f>
        <v>30.798988462109953</v>
      </c>
      <c r="H12" s="58">
        <f>Ref_table!H255</f>
        <v>9.911013691970023</v>
      </c>
      <c r="I12" s="276">
        <f>Ref_table!I255</f>
        <v>18.347010291613</v>
      </c>
      <c r="J12" s="281">
        <f>Ref_table!J255</f>
        <v>0</v>
      </c>
      <c r="K12" s="194">
        <f>Ref_table!K255</f>
        <v>18.347010291613</v>
      </c>
      <c r="L12" s="316">
        <f>Ref_table!L255</f>
        <v>0</v>
      </c>
      <c r="M12" s="316">
        <f>Ref_table!M255</f>
        <v>0</v>
      </c>
      <c r="N12" s="316">
        <f>Ref_table!N255</f>
        <v>0</v>
      </c>
      <c r="O12" s="302">
        <f>Ref_table!O255</f>
        <v>0</v>
      </c>
      <c r="P12" s="388">
        <f>Ref_table!P255</f>
        <v>0</v>
      </c>
      <c r="Q12" s="508">
        <f>Ref_table!Q255</f>
        <v>0</v>
      </c>
    </row>
    <row r="13" spans="1:17" ht="15">
      <c r="A13" s="100" t="str">
        <f>Ref_table!A256</f>
        <v>D21</v>
      </c>
      <c r="B13" s="101" t="str">
        <f>Ref_table!B256</f>
        <v>Mean Rivers Ecosystem Potential (REP) t1 (~1995)/ points by km^2</v>
      </c>
      <c r="C13" s="281">
        <f>Ref_table!C256</f>
        <v>0</v>
      </c>
      <c r="D13" s="281">
        <f>Ref_table!D256</f>
        <v>0</v>
      </c>
      <c r="E13" s="281">
        <f>Ref_table!E256</f>
        <v>0</v>
      </c>
      <c r="F13" s="281">
        <f>Ref_table!F256</f>
        <v>0</v>
      </c>
      <c r="G13" s="281">
        <f>Ref_table!G256</f>
        <v>0</v>
      </c>
      <c r="H13" s="281">
        <f>Ref_table!H256</f>
        <v>0</v>
      </c>
      <c r="I13" s="80">
        <f>Ref_table!I256</f>
        <v>0</v>
      </c>
      <c r="J13" s="58">
        <f>Ref_table!J256</f>
        <v>14.627328787878785</v>
      </c>
      <c r="K13" s="194">
        <f>Ref_table!K256</f>
        <v>14.627328787878785</v>
      </c>
      <c r="L13" s="316">
        <f>Ref_table!L256</f>
        <v>0</v>
      </c>
      <c r="M13" s="316">
        <f>Ref_table!M256</f>
        <v>0</v>
      </c>
      <c r="N13" s="316">
        <f>Ref_table!N256</f>
        <v>0</v>
      </c>
      <c r="O13" s="302">
        <f>Ref_table!O256</f>
        <v>0</v>
      </c>
      <c r="P13" s="388">
        <f>Ref_table!P256</f>
        <v>0</v>
      </c>
      <c r="Q13" s="508">
        <f>Ref_table!Q256</f>
        <v>0</v>
      </c>
    </row>
    <row r="14" spans="1:17" ht="15">
      <c r="A14" s="55" t="str">
        <f>Ref_table!A257</f>
        <v>E11</v>
      </c>
      <c r="B14" s="19" t="str">
        <f>Ref_table!B257</f>
        <v>Mean Ecosystem Biodiversity Rating (EBR) t1 (~1995), weighted km^2 [SQRT E4*E6]</v>
      </c>
      <c r="C14" s="58">
        <f>Ref_table!C257</f>
        <v>13.387799417820334</v>
      </c>
      <c r="D14" s="58">
        <f>Ref_table!D257</f>
        <v>28.0375008923838</v>
      </c>
      <c r="E14" s="58">
        <f>Ref_table!E257</f>
        <v>38.75491731849147</v>
      </c>
      <c r="F14" s="58">
        <f>Ref_table!F257</f>
        <v>45.98479426644636</v>
      </c>
      <c r="G14" s="58">
        <f>Ref_table!G257</f>
        <v>64.03160452106198</v>
      </c>
      <c r="H14" s="58">
        <f>Ref_table!H257</f>
        <v>28.096749259788456</v>
      </c>
      <c r="I14" s="276">
        <f>Ref_table!I257</f>
        <v>35.00159777278387</v>
      </c>
      <c r="J14" s="58">
        <f>Ref_table!J257</f>
        <v>30</v>
      </c>
      <c r="K14" s="194">
        <f>Ref_table!K257</f>
        <v>20.475715921434826</v>
      </c>
      <c r="L14" s="315">
        <f>Ref_table!L257</f>
        <v>59.16079783099616</v>
      </c>
      <c r="M14" s="315">
        <f>Ref_table!M257</f>
        <v>59.16079783099616</v>
      </c>
      <c r="N14" s="318">
        <f>Ref_table!N257</f>
        <v>59.16079783099616</v>
      </c>
      <c r="O14" s="25">
        <f>Ref_table!O257</f>
        <v>0</v>
      </c>
      <c r="P14" s="508">
        <f>Ref_table!P257</f>
        <v>0</v>
      </c>
      <c r="Q14" s="508">
        <f>Ref_table!Q257</f>
        <v>0</v>
      </c>
    </row>
    <row r="15" spans="1:17" ht="15">
      <c r="A15" s="203">
        <f>Ref_table!A258</f>
        <v>0</v>
      </c>
      <c r="B15" s="13">
        <f>Ref_table!B258</f>
        <v>0</v>
      </c>
      <c r="C15" s="281">
        <f>Ref_table!C258</f>
        <v>0</v>
      </c>
      <c r="D15" s="281">
        <f>Ref_table!D258</f>
        <v>0</v>
      </c>
      <c r="E15" s="281">
        <f>Ref_table!E258</f>
        <v>0</v>
      </c>
      <c r="F15" s="281">
        <f>Ref_table!F258</f>
        <v>0</v>
      </c>
      <c r="G15" s="281">
        <f>Ref_table!G258</f>
        <v>0</v>
      </c>
      <c r="H15" s="281">
        <f>Ref_table!H258</f>
        <v>0</v>
      </c>
      <c r="I15" s="80">
        <f>Ref_table!I258</f>
        <v>0</v>
      </c>
      <c r="J15" s="13">
        <f>Ref_table!J258</f>
        <v>0</v>
      </c>
      <c r="K15" s="89">
        <f>Ref_table!K258</f>
        <v>0</v>
      </c>
      <c r="L15" s="204">
        <f>Ref_table!L258</f>
        <v>0</v>
      </c>
      <c r="M15" s="204">
        <f>Ref_table!M258</f>
        <v>0</v>
      </c>
      <c r="N15" s="204">
        <f>Ref_table!N258</f>
        <v>0</v>
      </c>
      <c r="O15" s="26">
        <f>Ref_table!O258</f>
        <v>0</v>
      </c>
      <c r="P15" s="372">
        <f>Ref_table!P258</f>
        <v>0</v>
      </c>
      <c r="Q15" s="509">
        <f>Ref_table!Q258</f>
        <v>0</v>
      </c>
    </row>
    <row r="16" spans="1:17" ht="15">
      <c r="A16" s="71" t="str">
        <f>Ref_table!A259</f>
        <v>C14</v>
      </c>
      <c r="B16" s="92" t="str">
        <f>Ref_table!B259</f>
        <v>Ecosystem Accessible Water Surplus index t10 (~2005), [((C12-C10)/C10))*100]</v>
      </c>
      <c r="C16" s="58">
        <f>Ref_table!C259</f>
        <v>42.323016592454316</v>
      </c>
      <c r="D16" s="58">
        <f>Ref_table!D259</f>
        <v>27.96502791392459</v>
      </c>
      <c r="E16" s="58">
        <f>Ref_table!E259</f>
        <v>77.7074527857879</v>
      </c>
      <c r="F16" s="58">
        <f>Ref_table!F259</f>
        <v>73.01651049769744</v>
      </c>
      <c r="G16" s="58">
        <f>Ref_table!G259</f>
        <v>88.59279670036572</v>
      </c>
      <c r="H16" s="58">
        <f>Ref_table!H259</f>
        <v>91.88310963090663</v>
      </c>
      <c r="I16" s="276">
        <f>Ref_table!I259</f>
        <v>72.3996779888565</v>
      </c>
      <c r="J16" s="281">
        <f>Ref_table!J259</f>
        <v>0</v>
      </c>
      <c r="K16" s="194">
        <f>Ref_table!K259</f>
        <v>72.3996779888565</v>
      </c>
      <c r="L16" s="316">
        <f>Ref_table!L259</f>
        <v>0</v>
      </c>
      <c r="M16" s="316">
        <f>Ref_table!M259</f>
        <v>0</v>
      </c>
      <c r="N16" s="316">
        <f>Ref_table!N259</f>
        <v>0</v>
      </c>
      <c r="O16" s="302">
        <f>Ref_table!O259</f>
        <v>0</v>
      </c>
      <c r="P16" s="388">
        <f>Ref_table!P259</f>
        <v>0</v>
      </c>
      <c r="Q16" s="508">
        <f>Ref_table!Q259</f>
        <v>0</v>
      </c>
    </row>
    <row r="17" spans="1:17" ht="15">
      <c r="A17" s="71" t="str">
        <f>Ref_table!A260</f>
        <v>D8</v>
      </c>
      <c r="B17" s="19" t="str">
        <f>Ref_table!B260</f>
        <v>Mean Landscape Ecosystem Potential (LEP) by km^2, t10 (~2005), 0-100 scale</v>
      </c>
      <c r="C17" s="58">
        <f>Ref_table!C260</f>
        <v>2.6758691447770193</v>
      </c>
      <c r="D17" s="58">
        <f>Ref_table!D260</f>
        <v>22.144520550357967</v>
      </c>
      <c r="E17" s="58">
        <f>Ref_table!E260</f>
        <v>19.864423682217414</v>
      </c>
      <c r="F17" s="58">
        <f>Ref_table!F260</f>
        <v>32.18929771069243</v>
      </c>
      <c r="G17" s="58">
        <f>Ref_table!G260</f>
        <v>29.94592905993795</v>
      </c>
      <c r="H17" s="58">
        <f>Ref_table!H260</f>
        <v>9.8800310898787</v>
      </c>
      <c r="I17" s="276">
        <f>Ref_table!I260</f>
        <v>18.266856445485143</v>
      </c>
      <c r="J17" s="319">
        <f>Ref_table!J260</f>
        <v>0</v>
      </c>
      <c r="K17" s="194">
        <f>Ref_table!K260</f>
        <v>18.266856445485143</v>
      </c>
      <c r="L17" s="316">
        <f>Ref_table!L260</f>
        <v>0</v>
      </c>
      <c r="M17" s="316">
        <f>Ref_table!M260</f>
        <v>0</v>
      </c>
      <c r="N17" s="316">
        <f>Ref_table!N260</f>
        <v>0</v>
      </c>
      <c r="O17" s="302">
        <f>Ref_table!O260</f>
        <v>0</v>
      </c>
      <c r="P17" s="388">
        <f>Ref_table!P260</f>
        <v>0</v>
      </c>
      <c r="Q17" s="508">
        <f>Ref_table!Q260</f>
        <v>0</v>
      </c>
    </row>
    <row r="18" spans="1:17" ht="15">
      <c r="A18" s="100" t="str">
        <f>Ref_table!A261</f>
        <v>D22</v>
      </c>
      <c r="B18" s="101" t="str">
        <f>Ref_table!B261</f>
        <v>Mean Rivers Ecosystem Potential (REP) t10 (~2005)/ points by km^2</v>
      </c>
      <c r="C18" s="281">
        <f>Ref_table!C261</f>
        <v>0</v>
      </c>
      <c r="D18" s="281">
        <f>Ref_table!D261</f>
        <v>0</v>
      </c>
      <c r="E18" s="281">
        <f>Ref_table!E261</f>
        <v>0</v>
      </c>
      <c r="F18" s="281">
        <f>Ref_table!F261</f>
        <v>0</v>
      </c>
      <c r="G18" s="281">
        <f>Ref_table!G261</f>
        <v>0</v>
      </c>
      <c r="H18" s="281">
        <f>Ref_table!H261</f>
        <v>0</v>
      </c>
      <c r="I18" s="80">
        <f>Ref_table!I261</f>
        <v>0</v>
      </c>
      <c r="J18" s="58">
        <f>Ref_table!J261</f>
        <v>13.600164333333332</v>
      </c>
      <c r="K18" s="194">
        <f>Ref_table!K261</f>
        <v>13.600164333333332</v>
      </c>
      <c r="L18" s="316">
        <f>Ref_table!L261</f>
        <v>0</v>
      </c>
      <c r="M18" s="316">
        <f>Ref_table!M261</f>
        <v>0</v>
      </c>
      <c r="N18" s="316">
        <f>Ref_table!N261</f>
        <v>0</v>
      </c>
      <c r="O18" s="302">
        <f>Ref_table!O261</f>
        <v>0</v>
      </c>
      <c r="P18" s="388">
        <f>Ref_table!P261</f>
        <v>0</v>
      </c>
      <c r="Q18" s="508">
        <f>Ref_table!Q261</f>
        <v>0</v>
      </c>
    </row>
    <row r="19" spans="1:17" ht="15">
      <c r="A19" s="55" t="str">
        <f>Ref_table!A262</f>
        <v>E12</v>
      </c>
      <c r="B19" s="19" t="str">
        <f>Ref_table!B262</f>
        <v>Mean Ecosystem Biodiversity Rating (EBR) t10 (~2005), weighted km^2 [SQRT E5*E7]</v>
      </c>
      <c r="C19" s="58">
        <f>Ref_table!C262</f>
        <v>12.686133043251985</v>
      </c>
      <c r="D19" s="58">
        <f>Ref_table!D262</f>
        <v>25.628843161613993</v>
      </c>
      <c r="E19" s="58">
        <f>Ref_table!E262</f>
        <v>37.292758438405</v>
      </c>
      <c r="F19" s="58">
        <f>Ref_table!F262</f>
        <v>45.7840303708307</v>
      </c>
      <c r="G19" s="58">
        <f>Ref_table!G262</f>
        <v>62.0415615410507</v>
      </c>
      <c r="H19" s="58">
        <f>Ref_table!H262</f>
        <v>25.999403505856936</v>
      </c>
      <c r="I19" s="58">
        <f>Ref_table!I262</f>
        <v>33.33489331280269</v>
      </c>
      <c r="J19" s="58">
        <f>Ref_table!J262</f>
        <v>30</v>
      </c>
      <c r="K19" s="194">
        <f>Ref_table!K262</f>
        <v>19.405663416494235</v>
      </c>
      <c r="L19" s="315">
        <f>Ref_table!L262</f>
        <v>50</v>
      </c>
      <c r="M19" s="315">
        <f>Ref_table!M262</f>
        <v>50</v>
      </c>
      <c r="N19" s="318">
        <f>Ref_table!N262</f>
        <v>50</v>
      </c>
      <c r="O19" s="25">
        <f>Ref_table!O262</f>
        <v>0</v>
      </c>
      <c r="P19" s="508">
        <f>Ref_table!P262</f>
        <v>0</v>
      </c>
      <c r="Q19" s="508">
        <f>Ref_table!Q262</f>
        <v>0</v>
      </c>
    </row>
    <row r="20" spans="1:17" ht="15">
      <c r="A20" s="203">
        <f>Ref_table!A263</f>
        <v>0</v>
      </c>
      <c r="B20" s="13">
        <f>Ref_table!B263</f>
        <v>0</v>
      </c>
      <c r="C20" s="281">
        <f>Ref_table!C263</f>
        <v>0</v>
      </c>
      <c r="D20" s="281">
        <f>Ref_table!D263</f>
        <v>0</v>
      </c>
      <c r="E20" s="281">
        <f>Ref_table!E263</f>
        <v>0</v>
      </c>
      <c r="F20" s="281">
        <f>Ref_table!F263</f>
        <v>0</v>
      </c>
      <c r="G20" s="281">
        <f>Ref_table!G263</f>
        <v>0</v>
      </c>
      <c r="H20" s="281">
        <f>Ref_table!H263</f>
        <v>0</v>
      </c>
      <c r="I20" s="15">
        <f>Ref_table!I263</f>
        <v>0</v>
      </c>
      <c r="J20" s="13">
        <f>Ref_table!J263</f>
        <v>0</v>
      </c>
      <c r="K20" s="89">
        <f>Ref_table!K263</f>
        <v>0</v>
      </c>
      <c r="L20" s="204">
        <f>Ref_table!L263</f>
        <v>0</v>
      </c>
      <c r="M20" s="204">
        <f>Ref_table!M263</f>
        <v>0</v>
      </c>
      <c r="N20" s="204">
        <f>Ref_table!N263</f>
        <v>0</v>
      </c>
      <c r="O20" s="26">
        <f>Ref_table!O263</f>
        <v>0</v>
      </c>
      <c r="P20" s="372">
        <f>Ref_table!P263</f>
        <v>0</v>
      </c>
      <c r="Q20" s="509">
        <f>Ref_table!Q263</f>
        <v>0</v>
      </c>
    </row>
    <row r="21" spans="1:17" ht="15.75">
      <c r="A21" s="413" t="str">
        <f>Ref_table!A264</f>
        <v>F3</v>
      </c>
      <c r="B21" s="574" t="str">
        <f>Ref_table!B264</f>
        <v>Mean limiting factors index t1 [(C13+D7+E11)/3] &amp; [(D21+E11)/2]</v>
      </c>
      <c r="C21" s="410">
        <f>Ref_table!C264</f>
        <v>21.973853454462596</v>
      </c>
      <c r="D21" s="410">
        <f>Ref_table!D264</f>
        <v>28.732229738415167</v>
      </c>
      <c r="E21" s="410">
        <f>Ref_table!E264</f>
        <v>47.28391165570819</v>
      </c>
      <c r="F21" s="410">
        <f>Ref_table!F264</f>
        <v>51.79263729636143</v>
      </c>
      <c r="G21" s="410">
        <f>Ref_table!G264</f>
        <v>62.00347222968504</v>
      </c>
      <c r="H21" s="410">
        <f>Ref_table!H264</f>
        <v>43.91679290072889</v>
      </c>
      <c r="I21" s="410">
        <f>Ref_table!I264</f>
        <v>0</v>
      </c>
      <c r="J21" s="410">
        <f>Ref_table!J264</f>
        <v>22.31366439393939</v>
      </c>
      <c r="K21" s="593">
        <f>Ref_table!K264</f>
        <v>0</v>
      </c>
      <c r="L21" s="414">
        <f>Ref_table!L264</f>
        <v>59.16079783099616</v>
      </c>
      <c r="M21" s="433">
        <f>Ref_table!M264</f>
        <v>59.16079783099616</v>
      </c>
      <c r="N21" s="433">
        <f>Ref_table!N264</f>
        <v>59.16079783099616</v>
      </c>
      <c r="O21" s="596">
        <f>Ref_table!O264</f>
        <v>0</v>
      </c>
      <c r="P21" s="597">
        <f>Ref_table!P264</f>
        <v>1</v>
      </c>
      <c r="Q21" s="598">
        <f>Ref_table!Q264</f>
        <v>0</v>
      </c>
    </row>
    <row r="22" spans="1:17" ht="15.75">
      <c r="A22" s="413" t="str">
        <f>Ref_table!A265</f>
        <v>F4</v>
      </c>
      <c r="B22" s="574" t="str">
        <f>Ref_table!B265</f>
        <v>Mean limiting factors index t10 [(C14+D8+E12)/3] &amp; [(D22+E12)/2]</v>
      </c>
      <c r="C22" s="410">
        <f>Ref_table!C265</f>
        <v>19.22833959349444</v>
      </c>
      <c r="D22" s="410">
        <f>Ref_table!D265</f>
        <v>25.246130541965517</v>
      </c>
      <c r="E22" s="410">
        <f>Ref_table!E265</f>
        <v>44.95487830213677</v>
      </c>
      <c r="F22" s="410">
        <f>Ref_table!F265</f>
        <v>50.32994619307352</v>
      </c>
      <c r="G22" s="410">
        <f>Ref_table!G265</f>
        <v>60.19342910045145</v>
      </c>
      <c r="H22" s="410">
        <f>Ref_table!H265</f>
        <v>42.58751474221409</v>
      </c>
      <c r="I22" s="410">
        <f>Ref_table!I265</f>
        <v>0</v>
      </c>
      <c r="J22" s="410">
        <f>Ref_table!J265</f>
        <v>21.800082166666666</v>
      </c>
      <c r="K22" s="593">
        <f>Ref_table!K265</f>
        <v>0</v>
      </c>
      <c r="L22" s="414">
        <f>Ref_table!L265</f>
        <v>50</v>
      </c>
      <c r="M22" s="433">
        <f>Ref_table!M265</f>
        <v>50</v>
      </c>
      <c r="N22" s="433">
        <f>Ref_table!N265</f>
        <v>50</v>
      </c>
      <c r="O22" s="596">
        <f>Ref_table!O265</f>
        <v>0</v>
      </c>
      <c r="P22" s="597">
        <f>Ref_table!P265</f>
        <v>1</v>
      </c>
      <c r="Q22" s="598">
        <f>Ref_table!Q265</f>
        <v>0</v>
      </c>
    </row>
    <row r="23" spans="1:17" ht="15.75" thickBot="1">
      <c r="A23" s="242" t="str">
        <f>Ref_table!A266</f>
        <v>F4-F3</v>
      </c>
      <c r="B23" s="243" t="str">
        <f>Ref_table!B266</f>
        <v>Relative change % = functional gain (+) or loss (-), 0 to 100 scale</v>
      </c>
      <c r="C23" s="288">
        <f>Ref_table!C266</f>
        <v>-12.494457864014647</v>
      </c>
      <c r="D23" s="288">
        <f>Ref_table!D266</f>
        <v>-12.133061820081142</v>
      </c>
      <c r="E23" s="288">
        <f>Ref_table!E266</f>
        <v>-4.925635955269478</v>
      </c>
      <c r="F23" s="288">
        <f>Ref_table!F266</f>
        <v>-2.8241294122913247</v>
      </c>
      <c r="G23" s="288">
        <f>Ref_table!G266</f>
        <v>-2.9192609125638618</v>
      </c>
      <c r="H23" s="288">
        <f>Ref_table!H266</f>
        <v>-3.026810636012406</v>
      </c>
      <c r="I23" s="280">
        <f>Ref_table!I266</f>
        <v>0</v>
      </c>
      <c r="J23" s="288">
        <f>Ref_table!J266</f>
        <v>-2.301648972600926</v>
      </c>
      <c r="K23" s="294">
        <f>Ref_table!K266</f>
        <v>0</v>
      </c>
      <c r="L23" s="288">
        <f>Ref_table!L266</f>
        <v>-15.48457452714834</v>
      </c>
      <c r="M23" s="288">
        <f>Ref_table!M266</f>
        <v>-15.48457452714834</v>
      </c>
      <c r="N23" s="318">
        <f>Ref_table!N266</f>
        <v>-15.48457452714834</v>
      </c>
      <c r="O23" s="320">
        <f>Ref_table!O266</f>
        <v>0</v>
      </c>
      <c r="P23" s="656">
        <f>Ref_table!P266</f>
        <v>0</v>
      </c>
      <c r="Q23" s="511">
        <f>Ref_table!Q266</f>
        <v>0</v>
      </c>
    </row>
    <row r="24" spans="1:17" ht="15.75">
      <c r="A24" s="1059" t="str">
        <f>Ref_table!A267</f>
        <v>Ecosystem Total Potential &amp; Ecosystem Capital Degradation in EPUE [1 EPUE = 1 EAC Unit * functional coefficient]</v>
      </c>
      <c r="B24" s="1060">
        <f>Ref_table!B267</f>
        <v>0</v>
      </c>
      <c r="C24" s="1060">
        <f>Ref_table!C267</f>
        <v>0</v>
      </c>
      <c r="D24" s="1060">
        <f>Ref_table!D267</f>
        <v>0</v>
      </c>
      <c r="E24" s="1060">
        <f>Ref_table!E267</f>
        <v>0</v>
      </c>
      <c r="F24" s="1060">
        <f>Ref_table!F267</f>
        <v>0</v>
      </c>
      <c r="G24" s="1060">
        <f>Ref_table!G267</f>
        <v>0</v>
      </c>
      <c r="H24" s="1060">
        <f>Ref_table!H267</f>
        <v>0</v>
      </c>
      <c r="I24" s="1060">
        <f>Ref_table!I267</f>
        <v>0</v>
      </c>
      <c r="J24" s="1060">
        <f>Ref_table!J267</f>
        <v>0</v>
      </c>
      <c r="K24" s="1061">
        <f>Ref_table!K267</f>
        <v>0</v>
      </c>
      <c r="L24" s="733">
        <f>Ref_table!L267</f>
        <v>0</v>
      </c>
      <c r="M24" s="734">
        <f>Ref_table!M267</f>
        <v>0</v>
      </c>
      <c r="N24" s="735">
        <f>Ref_table!N267</f>
        <v>0</v>
      </c>
      <c r="O24" s="736">
        <f>Ref_table!O267</f>
        <v>0</v>
      </c>
      <c r="P24" s="737">
        <f>Ref_table!P267</f>
        <v>0</v>
      </c>
      <c r="Q24" s="738">
        <f>Ref_table!Q267</f>
        <v>0</v>
      </c>
    </row>
    <row r="25" spans="1:17" ht="15.75">
      <c r="A25" s="413" t="str">
        <f>Ref_table!A268</f>
        <v>F5</v>
      </c>
      <c r="B25" s="574" t="str">
        <f>Ref_table!B268</f>
        <v>Ecosystem Total Potential t1 (~1995), in 10^3 EPUE [bottomline F5 = F1]</v>
      </c>
      <c r="C25" s="410">
        <f>Ref_table!C268</f>
        <v>66172.5</v>
      </c>
      <c r="D25" s="410">
        <f>Ref_table!D268</f>
        <v>250580</v>
      </c>
      <c r="E25" s="410">
        <f>Ref_table!E268</f>
        <v>272849.99999999994</v>
      </c>
      <c r="F25" s="410">
        <f>Ref_table!F268</f>
        <v>350450</v>
      </c>
      <c r="G25" s="410">
        <f>Ref_table!G268</f>
        <v>82810</v>
      </c>
      <c r="H25" s="410">
        <f>Ref_table!H268</f>
        <v>249900</v>
      </c>
      <c r="I25" s="410">
        <f>Ref_table!I268</f>
        <v>1272762.5</v>
      </c>
      <c r="J25" s="410">
        <f>Ref_table!J268</f>
        <v>63259.58508127816</v>
      </c>
      <c r="K25" s="593">
        <f>Ref_table!K268</f>
        <v>1336022.085081278</v>
      </c>
      <c r="L25" s="414">
        <f>Ref_table!L268</f>
        <v>12031.200000000003</v>
      </c>
      <c r="M25" s="433">
        <f>Ref_table!M268</f>
        <v>2406.2400000000007</v>
      </c>
      <c r="N25" s="433">
        <f>Ref_table!N268</f>
        <v>14437.440000000002</v>
      </c>
      <c r="O25" s="596">
        <f>Ref_table!O268</f>
        <v>0</v>
      </c>
      <c r="P25" s="597">
        <f>Ref_table!P268</f>
        <v>13717071.9</v>
      </c>
      <c r="Q25" s="598">
        <f>Ref_table!Q268</f>
        <v>15067531.42508128</v>
      </c>
    </row>
    <row r="26" spans="1:17" ht="15.75">
      <c r="A26" s="413" t="str">
        <f>Ref_table!A269</f>
        <v>F6</v>
      </c>
      <c r="B26" s="574" t="str">
        <f>Ref_table!B269</f>
        <v>Ecosystem Total Potential t10 (~2005), in 10^3 EPUE [F6= (F2*(1-((F4-F3)/F3))]</v>
      </c>
      <c r="C26" s="410">
        <f>Ref_table!C269</f>
        <v>51092.29841464844</v>
      </c>
      <c r="D26" s="410">
        <f>Ref_table!D269</f>
        <v>210168.92943254794</v>
      </c>
      <c r="E26" s="410">
        <f>Ref_table!E269</f>
        <v>244150.96686686797</v>
      </c>
      <c r="F26" s="410">
        <f>Ref_table!F269</f>
        <v>360352.4221068707</v>
      </c>
      <c r="G26" s="410">
        <f>Ref_table!G269</f>
        <v>78625.69058691453</v>
      </c>
      <c r="H26" s="410">
        <f>Ref_table!H269</f>
        <v>202421.8354783877</v>
      </c>
      <c r="I26" s="410">
        <f>Ref_table!I269</f>
        <v>1146812.1428862372</v>
      </c>
      <c r="J26" s="410">
        <f>Ref_table!J269</f>
        <v>57463.583464640265</v>
      </c>
      <c r="K26" s="593">
        <f>Ref_table!K269</f>
        <v>1204275.7263508774</v>
      </c>
      <c r="L26" s="414">
        <f>Ref_table!L269</f>
        <v>4216.981669393405</v>
      </c>
      <c r="M26" s="433">
        <f>Ref_table!M269</f>
        <v>843.3963338786813</v>
      </c>
      <c r="N26" s="433">
        <f>Ref_table!N269</f>
        <v>5060.378003272087</v>
      </c>
      <c r="O26" s="596">
        <f>Ref_table!O269</f>
        <v>0</v>
      </c>
      <c r="P26" s="597">
        <f>Ref_table!P269</f>
        <v>12509969.572800001</v>
      </c>
      <c r="Q26" s="598">
        <f>Ref_table!Q269</f>
        <v>13719305.67715415</v>
      </c>
    </row>
    <row r="27" spans="1:17" ht="15.75">
      <c r="A27" s="621" t="str">
        <f>Ref_table!A270</f>
        <v>F6-F5</v>
      </c>
      <c r="B27" s="1030" t="str">
        <f>Ref_table!B270</f>
        <v>Net Change in EPUE (-) or (+), period t1t10 (~1995-~2005) , in 10^3 EPUE </v>
      </c>
      <c r="C27" s="928">
        <f>Ref_table!C270</f>
        <v>-15080.201585351562</v>
      </c>
      <c r="D27" s="928">
        <f>Ref_table!D270</f>
        <v>-40411.07056745206</v>
      </c>
      <c r="E27" s="928">
        <f>Ref_table!E270</f>
        <v>-28699.033133131976</v>
      </c>
      <c r="F27" s="928">
        <f>Ref_table!F270</f>
        <v>9902.422106870683</v>
      </c>
      <c r="G27" s="928">
        <f>Ref_table!G270</f>
        <v>-4184.309413085473</v>
      </c>
      <c r="H27" s="928">
        <f>Ref_table!H270</f>
        <v>-47478.164521612314</v>
      </c>
      <c r="I27" s="584">
        <f>Ref_table!I270</f>
        <v>-125950.3571137627</v>
      </c>
      <c r="J27" s="928">
        <f>Ref_table!J270</f>
        <v>-5796.001616637892</v>
      </c>
      <c r="K27" s="876">
        <f>Ref_table!K270</f>
        <v>-131746.3587304006</v>
      </c>
      <c r="L27" s="1031">
        <f>Ref_table!L270</f>
        <v>-7814.218330606597</v>
      </c>
      <c r="M27" s="928">
        <f>Ref_table!M270</f>
        <v>-1562.8436661213195</v>
      </c>
      <c r="N27" s="623">
        <f>Ref_table!N270</f>
        <v>-9377.061996727916</v>
      </c>
      <c r="O27" s="1032">
        <f>Ref_table!O270</f>
        <v>0</v>
      </c>
      <c r="P27" s="963">
        <f>Ref_table!P270</f>
        <v>-1207102.3271999992</v>
      </c>
      <c r="Q27" s="877">
        <f>Ref_table!Q270</f>
        <v>-1348225.7479271279</v>
      </c>
    </row>
    <row r="28" spans="1:17" ht="15.75">
      <c r="A28" s="848" t="str">
        <f>Ref_table!A271</f>
        <v>F6-F5 annual</v>
      </c>
      <c r="B28" s="886" t="str">
        <f>Ref_table!B271</f>
        <v>Mean Annual Net Change in EPUE (-) or (+), period t1t10 (~1995-~2005) , in 10^3 EPUE </v>
      </c>
      <c r="C28" s="584">
        <f>Ref_table!C271</f>
        <v>-1508.0201585351563</v>
      </c>
      <c r="D28" s="584">
        <f>Ref_table!D271</f>
        <v>-4041.1070567452057</v>
      </c>
      <c r="E28" s="584">
        <f>Ref_table!E271</f>
        <v>-2869.9033133131975</v>
      </c>
      <c r="F28" s="584">
        <f>Ref_table!F271</f>
        <v>990.2422106870683</v>
      </c>
      <c r="G28" s="584">
        <f>Ref_table!G271</f>
        <v>-418.43094130854735</v>
      </c>
      <c r="H28" s="584">
        <f>Ref_table!H271</f>
        <v>-4747.816452161232</v>
      </c>
      <c r="I28" s="584">
        <f>Ref_table!I271</f>
        <v>-12595.03571137627</v>
      </c>
      <c r="J28" s="584">
        <f>Ref_table!J271</f>
        <v>-579.6001616637892</v>
      </c>
      <c r="K28" s="584">
        <f>Ref_table!K271</f>
        <v>-13174.635873040059</v>
      </c>
      <c r="L28" s="887">
        <f>Ref_table!L271</f>
        <v>-781.4218330606598</v>
      </c>
      <c r="M28" s="584">
        <f>Ref_table!M271</f>
        <v>-156.28436661213195</v>
      </c>
      <c r="N28" s="584">
        <f>Ref_table!N271</f>
        <v>-937.7061996727916</v>
      </c>
      <c r="O28" s="888">
        <f>Ref_table!O271</f>
        <v>0</v>
      </c>
      <c r="P28" s="889">
        <f>Ref_table!P271</f>
        <v>-120710.23271999993</v>
      </c>
      <c r="Q28" s="877">
        <f>Ref_table!Q271</f>
        <v>-134822.57479271278</v>
      </c>
    </row>
    <row r="29" spans="1:17" ht="15">
      <c r="A29" s="878" t="str">
        <f>Ref_table!A272</f>
        <v>F6-F5%</v>
      </c>
      <c r="B29" s="890" t="str">
        <f>Ref_table!B272</f>
        <v>Mean Annual Net Change in EPUE (-) or (+),  period t1t10 (~1995-~2005) </v>
      </c>
      <c r="C29" s="891">
        <f>Ref_table!C272</f>
        <v>-2.2789227527071763</v>
      </c>
      <c r="D29" s="891">
        <f>Ref_table!D272</f>
        <v>-1.6127013555531988</v>
      </c>
      <c r="E29" s="891">
        <f>Ref_table!E272</f>
        <v>-1.0518245604959493</v>
      </c>
      <c r="F29" s="891">
        <f>Ref_table!F272</f>
        <v>0.28256305055987113</v>
      </c>
      <c r="G29" s="891">
        <f>Ref_table!G272</f>
        <v>-0.5052903529870153</v>
      </c>
      <c r="H29" s="891">
        <f>Ref_table!H272</f>
        <v>-1.899886535478684</v>
      </c>
      <c r="I29" s="891">
        <f>Ref_table!I272</f>
        <v>-0.9895825585194621</v>
      </c>
      <c r="J29" s="891">
        <f>Ref_table!J272</f>
        <v>-0.9162250446617669</v>
      </c>
      <c r="K29" s="892">
        <f>Ref_table!K272</f>
        <v>-0.9861091384756988</v>
      </c>
      <c r="L29" s="893">
        <f>Ref_table!L272</f>
        <v>-6.494961708396998</v>
      </c>
      <c r="M29" s="891">
        <f>Ref_table!M272</f>
        <v>-6.494961708396997</v>
      </c>
      <c r="N29" s="879">
        <f>Ref_table!N272</f>
        <v>-6.494961708396998</v>
      </c>
      <c r="O29" s="894">
        <f>Ref_table!O272</f>
        <v>0</v>
      </c>
      <c r="P29" s="880">
        <f>Ref_table!P272</f>
        <v>-0.8799999999999993</v>
      </c>
      <c r="Q29" s="880">
        <f>Ref_table!Q272</f>
        <v>-0.8947887413613641</v>
      </c>
    </row>
    <row r="30" spans="1:17" ht="15.75">
      <c r="A30" s="831" t="str">
        <f>Ref_table!A273</f>
        <v>F7</v>
      </c>
      <c r="B30" s="886" t="str">
        <f>Ref_table!B273</f>
        <v>Ecosystem improvement, period t1t10 (~1995-~2005) , in 10^3 EPUE </v>
      </c>
      <c r="C30" s="584">
        <f>Ref_table!C273</f>
        <v>12064.16126828125</v>
      </c>
      <c r="D30" s="584">
        <f>Ref_table!D273</f>
        <v>60616.60585117809</v>
      </c>
      <c r="E30" s="584">
        <f>Ref_table!E273</f>
        <v>43048.549699697964</v>
      </c>
      <c r="F30" s="584">
        <f>Ref_table!F273</f>
        <v>24756.055267176707</v>
      </c>
      <c r="G30" s="584">
        <f>Ref_table!G273</f>
        <v>6276.46411962821</v>
      </c>
      <c r="H30" s="584">
        <f>Ref_table!H273</f>
        <v>71217.24678241847</v>
      </c>
      <c r="I30" s="584">
        <f>Ref_table!I273</f>
        <v>217979.0829883807</v>
      </c>
      <c r="J30" s="584">
        <f>Ref_table!J273</f>
        <v>8694.002424956838</v>
      </c>
      <c r="K30" s="876">
        <f>Ref_table!K273</f>
        <v>226673.0854133375</v>
      </c>
      <c r="L30" s="887">
        <f>Ref_table!L273</f>
        <v>11721.327495909896</v>
      </c>
      <c r="M30" s="584">
        <f>Ref_table!M273</f>
        <v>2344.265499181979</v>
      </c>
      <c r="N30" s="584">
        <f>Ref_table!N273</f>
        <v>14065.592995091876</v>
      </c>
      <c r="O30" s="895">
        <f>Ref_table!O273</f>
        <v>0</v>
      </c>
      <c r="P30" s="889">
        <f>Ref_table!P273</f>
        <v>603551.1635999996</v>
      </c>
      <c r="Q30" s="877">
        <f>Ref_table!Q273</f>
        <v>844289.842008429</v>
      </c>
    </row>
    <row r="31" spans="1:17" ht="15">
      <c r="A31" s="113" t="str">
        <f>Ref_table!A274</f>
        <v>f71</v>
      </c>
      <c r="B31" s="896" t="str">
        <f>Ref_table!B274</f>
        <v>Effect of Ecosystem restoration programme, mean annual amount period t1t10 (~1995-~2005) ,  in 10^3 EPUE </v>
      </c>
      <c r="C31" s="44">
        <f>Ref_table!C274</f>
        <v>361.9248380484375</v>
      </c>
      <c r="D31" s="44">
        <f>Ref_table!D274</f>
        <v>1818.4981755353426</v>
      </c>
      <c r="E31" s="44">
        <f>Ref_table!E274</f>
        <v>1291.4564909909388</v>
      </c>
      <c r="F31" s="44">
        <f>Ref_table!F274</f>
        <v>742.6816580153012</v>
      </c>
      <c r="G31" s="44">
        <f>Ref_table!G274</f>
        <v>188.2939235888463</v>
      </c>
      <c r="H31" s="44">
        <f>Ref_table!H274</f>
        <v>2136.517403472554</v>
      </c>
      <c r="I31" s="44">
        <f>Ref_table!I274</f>
        <v>6539.37248965142</v>
      </c>
      <c r="J31" s="44">
        <f>Ref_table!J274</f>
        <v>260.8200727487051</v>
      </c>
      <c r="K31" s="44">
        <f>Ref_table!K274</f>
        <v>6800.192562400125</v>
      </c>
      <c r="L31" s="44">
        <f>Ref_table!L274</f>
        <v>351.63982487729686</v>
      </c>
      <c r="M31" s="44">
        <f>Ref_table!M274</f>
        <v>70.32796497545937</v>
      </c>
      <c r="N31" s="44">
        <f>Ref_table!N274</f>
        <v>421.96778985275625</v>
      </c>
      <c r="O31" s="897">
        <f>Ref_table!O274</f>
        <v>0</v>
      </c>
      <c r="P31" s="753">
        <f>Ref_table!P274</f>
        <v>18106.534907999987</v>
      </c>
      <c r="Q31" s="877">
        <f>Ref_table!Q274</f>
        <v>25328.69526025287</v>
      </c>
    </row>
    <row r="32" spans="1:17" ht="15">
      <c r="A32" s="113" t="str">
        <f>Ref_table!A275</f>
        <v>f72</v>
      </c>
      <c r="B32" s="896" t="str">
        <f>Ref_table!B275</f>
        <v>Ecosystem spontaneous natural improvement, mean annual amount period t1t10 (~1995-~2005) ,  in 10^3 EPUE </v>
      </c>
      <c r="C32" s="44">
        <f>Ref_table!C275</f>
        <v>844.4912887796875</v>
      </c>
      <c r="D32" s="44">
        <f>Ref_table!D275</f>
        <v>4243.162409582465</v>
      </c>
      <c r="E32" s="44">
        <f>Ref_table!E275</f>
        <v>3013.3984789788574</v>
      </c>
      <c r="F32" s="44">
        <f>Ref_table!F275</f>
        <v>1732.9238687023694</v>
      </c>
      <c r="G32" s="44">
        <f>Ref_table!G275</f>
        <v>439.35248837397467</v>
      </c>
      <c r="H32" s="44">
        <f>Ref_table!H275</f>
        <v>4985.207274769293</v>
      </c>
      <c r="I32" s="44">
        <f>Ref_table!I275</f>
        <v>15258.535809186647</v>
      </c>
      <c r="J32" s="44">
        <f>Ref_table!J275</f>
        <v>608.5801697469785</v>
      </c>
      <c r="K32" s="44">
        <f>Ref_table!K275</f>
        <v>15867.115978933623</v>
      </c>
      <c r="L32" s="44">
        <f>Ref_table!L275</f>
        <v>820.4929247136927</v>
      </c>
      <c r="M32" s="44">
        <f>Ref_table!M275</f>
        <v>164.09858494273854</v>
      </c>
      <c r="N32" s="44">
        <f>Ref_table!N275</f>
        <v>984.5915096564313</v>
      </c>
      <c r="O32" s="897">
        <f>Ref_table!O275</f>
        <v>0</v>
      </c>
      <c r="P32" s="753">
        <f>Ref_table!P275</f>
        <v>42248.58145199997</v>
      </c>
      <c r="Q32" s="877">
        <f>Ref_table!Q275</f>
        <v>59100.28894059002</v>
      </c>
    </row>
    <row r="33" spans="1:17" ht="15.75">
      <c r="A33" s="831" t="str">
        <f>Ref_table!A276</f>
        <v>F8</v>
      </c>
      <c r="B33" s="886" t="str">
        <f>Ref_table!B276</f>
        <v>Ecosystem degradation &amp; natural disturbance, 10 years period t1t10 (~1995-~2005), in 10^3 EPUE</v>
      </c>
      <c r="C33" s="584">
        <f>Ref_table!C276</f>
        <v>27144.36285363281</v>
      </c>
      <c r="D33" s="584">
        <f>Ref_table!D276</f>
        <v>101027.67641863014</v>
      </c>
      <c r="E33" s="584">
        <f>Ref_table!E276</f>
        <v>71747.58283282994</v>
      </c>
      <c r="F33" s="584">
        <f>Ref_table!F276</f>
        <v>14853.633160306024</v>
      </c>
      <c r="G33" s="584">
        <f>Ref_table!G276</f>
        <v>10460.773532713683</v>
      </c>
      <c r="H33" s="584">
        <f>Ref_table!H276</f>
        <v>118695.41130403079</v>
      </c>
      <c r="I33" s="584">
        <f>Ref_table!I276</f>
        <v>343929.4401021434</v>
      </c>
      <c r="J33" s="584">
        <f>Ref_table!J276</f>
        <v>14490.00404159473</v>
      </c>
      <c r="K33" s="876">
        <f>Ref_table!K276</f>
        <v>358419.44414373813</v>
      </c>
      <c r="L33" s="887">
        <f>Ref_table!L276</f>
        <v>19535.545826516493</v>
      </c>
      <c r="M33" s="584">
        <f>Ref_table!M276</f>
        <v>3907.1091653032986</v>
      </c>
      <c r="N33" s="584">
        <f>Ref_table!N276</f>
        <v>23442.654991819792</v>
      </c>
      <c r="O33" s="895">
        <f>Ref_table!O276</f>
        <v>0</v>
      </c>
      <c r="P33" s="889">
        <f>Ref_table!P276</f>
        <v>1810653.4907999989</v>
      </c>
      <c r="Q33" s="877">
        <f>Ref_table!Q276</f>
        <v>2192515.589935557</v>
      </c>
    </row>
    <row r="34" spans="1:17" ht="15">
      <c r="A34" s="113" t="str">
        <f>Ref_table!A277</f>
        <v>f81</v>
      </c>
      <c r="B34" s="896" t="str">
        <f>Ref_table!B277</f>
        <v>Ecosystem degradation &amp; natural disturbance, mean annual amount, period t1t10 (~1995-~2005), in 10^3 EPUE</v>
      </c>
      <c r="C34" s="44">
        <f>Ref_table!C277</f>
        <v>2714.436285363281</v>
      </c>
      <c r="D34" s="44">
        <f>Ref_table!D277</f>
        <v>10102.767641863014</v>
      </c>
      <c r="E34" s="44">
        <f>Ref_table!E277</f>
        <v>7174.758283282994</v>
      </c>
      <c r="F34" s="44">
        <f>Ref_table!F277</f>
        <v>1485.3633160306024</v>
      </c>
      <c r="G34" s="44">
        <f>Ref_table!G277</f>
        <v>1046.0773532713683</v>
      </c>
      <c r="H34" s="44">
        <f>Ref_table!H277</f>
        <v>11869.541130403079</v>
      </c>
      <c r="I34" s="900">
        <f>Ref_table!I277</f>
        <v>34392.94401021434</v>
      </c>
      <c r="J34" s="44">
        <f>Ref_table!J277</f>
        <v>1449.000404159473</v>
      </c>
      <c r="K34" s="901">
        <f>Ref_table!K277</f>
        <v>35841.944414373815</v>
      </c>
      <c r="L34" s="902">
        <f>Ref_table!L277</f>
        <v>1953.5545826516493</v>
      </c>
      <c r="M34" s="44">
        <f>Ref_table!M277</f>
        <v>390.7109165303299</v>
      </c>
      <c r="N34" s="752">
        <f>Ref_table!N277</f>
        <v>2344.265499181979</v>
      </c>
      <c r="O34" s="897">
        <f>Ref_table!O277</f>
        <v>0</v>
      </c>
      <c r="P34" s="753">
        <f>Ref_table!P277</f>
        <v>181065.3490799999</v>
      </c>
      <c r="Q34" s="877">
        <f>Ref_table!Q277</f>
        <v>219251.5589935557</v>
      </c>
    </row>
    <row r="35" spans="1:17" ht="15">
      <c r="A35" s="874" t="str">
        <f>Ref_table!A278</f>
        <v>f82</v>
      </c>
      <c r="B35" s="882" t="str">
        <f>Ref_table!B278</f>
        <v>Effect of natural disturbances, mean annual amount period t1t10 (~1995-~2005) ,  in 10^3 EPUE</v>
      </c>
      <c r="C35" s="487">
        <f>Ref_table!C278</f>
        <v>271.4436285363281</v>
      </c>
      <c r="D35" s="487">
        <f>Ref_table!D278</f>
        <v>1010.2767641863015</v>
      </c>
      <c r="E35" s="487">
        <f>Ref_table!E278</f>
        <v>717.4758283282995</v>
      </c>
      <c r="F35" s="487">
        <f>Ref_table!F278</f>
        <v>148.53633160306023</v>
      </c>
      <c r="G35" s="487">
        <f>Ref_table!G278</f>
        <v>104.60773532713684</v>
      </c>
      <c r="H35" s="487">
        <f>Ref_table!H278</f>
        <v>1186.954113040308</v>
      </c>
      <c r="I35" s="249">
        <f>Ref_table!I278</f>
        <v>3439.294401021434</v>
      </c>
      <c r="J35" s="487">
        <f>Ref_table!J278</f>
        <v>144.9000404159473</v>
      </c>
      <c r="K35" s="186">
        <f>Ref_table!K278</f>
        <v>3584.1944414373816</v>
      </c>
      <c r="L35" s="883">
        <f>Ref_table!L278</f>
        <v>195.35545826516494</v>
      </c>
      <c r="M35" s="487">
        <f>Ref_table!M278</f>
        <v>39.071091653032994</v>
      </c>
      <c r="N35" s="884">
        <f>Ref_table!N278</f>
        <v>234.42654991819794</v>
      </c>
      <c r="O35" s="460">
        <f>Ref_table!O278</f>
        <v>0</v>
      </c>
      <c r="P35" s="885">
        <f>Ref_table!P278</f>
        <v>18106.53490799999</v>
      </c>
      <c r="Q35" s="431">
        <f>Ref_table!Q278</f>
        <v>21925.15589935557</v>
      </c>
    </row>
    <row r="36" spans="1:17" ht="15.75">
      <c r="A36" s="615" t="str">
        <f>Ref_table!A279</f>
        <v>F9</v>
      </c>
      <c r="B36" s="574" t="str">
        <f>Ref_table!B279</f>
        <v>Territorial Ecosystem Capital Degradation (TECD), mean annual amount ~1995-~2005,  in 10^3 EPUE [F8-F10]</v>
      </c>
      <c r="C36" s="410">
        <f>Ref_table!C279</f>
        <v>2442.992656826953</v>
      </c>
      <c r="D36" s="410">
        <f>Ref_table!D279</f>
        <v>9092.490877676713</v>
      </c>
      <c r="E36" s="410">
        <f>Ref_table!E279</f>
        <v>6457.282454954695</v>
      </c>
      <c r="F36" s="410">
        <f>Ref_table!F279</f>
        <v>1336.8269844275421</v>
      </c>
      <c r="G36" s="410">
        <f>Ref_table!G279</f>
        <v>941.4696179442315</v>
      </c>
      <c r="H36" s="410">
        <f>Ref_table!H279</f>
        <v>10682.58701736277</v>
      </c>
      <c r="I36" s="410">
        <f>Ref_table!I279</f>
        <v>30953.649609192908</v>
      </c>
      <c r="J36" s="410">
        <f>Ref_table!J279</f>
        <v>1304.1003637435256</v>
      </c>
      <c r="K36" s="593">
        <f>Ref_table!K279</f>
        <v>32257.74997293643</v>
      </c>
      <c r="L36" s="414">
        <f>Ref_table!L279</f>
        <v>1758.1991243864843</v>
      </c>
      <c r="M36" s="410">
        <f>Ref_table!M279</f>
        <v>351.63982487729686</v>
      </c>
      <c r="N36" s="410">
        <f>Ref_table!N279</f>
        <v>2109.838949263781</v>
      </c>
      <c r="O36" s="415">
        <f>Ref_table!O279</f>
        <v>0</v>
      </c>
      <c r="P36" s="417">
        <f>Ref_table!P279</f>
        <v>162958.8141719999</v>
      </c>
      <c r="Q36" s="431">
        <f>Ref_table!Q279</f>
        <v>197326.40309420013</v>
      </c>
    </row>
    <row r="37" spans="1:17" ht="16.5" thickBot="1">
      <c r="A37" s="838" t="str">
        <f>Ref_table!A280</f>
        <v>F9%</v>
      </c>
      <c r="B37" s="847" t="str">
        <f>Ref_table!B280</f>
        <v>Mean annual TECD/TEP %, period t1t10 (~1995-~2005) </v>
      </c>
      <c r="C37" s="839">
        <f>Ref_table!C280</f>
        <v>3.691854859385625</v>
      </c>
      <c r="D37" s="839">
        <f>Ref_table!D280</f>
        <v>3.6285780499946974</v>
      </c>
      <c r="E37" s="839">
        <f>Ref_table!E280</f>
        <v>2.3666052611158865</v>
      </c>
      <c r="F37" s="839">
        <f>Ref_table!F280</f>
        <v>0.381460118255826</v>
      </c>
      <c r="G37" s="839">
        <f>Ref_table!G280</f>
        <v>1.1369032942207842</v>
      </c>
      <c r="H37" s="839">
        <f>Ref_table!H280</f>
        <v>1.6666666666666665</v>
      </c>
      <c r="I37" s="840">
        <f>Ref_table!I280</f>
        <v>1.577809372289526</v>
      </c>
      <c r="J37" s="839">
        <f>Ref_table!J280</f>
        <v>1.6666666666666667</v>
      </c>
      <c r="K37" s="841">
        <f>Ref_table!K280</f>
        <v>1.5812174766587823</v>
      </c>
      <c r="L37" s="842">
        <f>Ref_table!L280</f>
        <v>14.613663843893244</v>
      </c>
      <c r="M37" s="843">
        <f>Ref_table!M280</f>
        <v>14.613663843893242</v>
      </c>
      <c r="N37" s="843">
        <f>Ref_table!N280</f>
        <v>14.613663843893242</v>
      </c>
      <c r="O37" s="844">
        <f>Ref_table!O280</f>
        <v>0</v>
      </c>
      <c r="P37" s="871">
        <f>Ref_table!P280</f>
        <v>1.187999999999999</v>
      </c>
      <c r="Q37" s="845">
        <f>Ref_table!Q280</f>
        <v>1.3096133502381975</v>
      </c>
    </row>
    <row r="38" spans="1:17" ht="15.75" thickBot="1">
      <c r="A38" s="22">
        <f>Ref_table!A281</f>
        <v>0</v>
      </c>
      <c r="B38" s="5">
        <f>Ref_table!B281</f>
        <v>0</v>
      </c>
      <c r="C38" s="6">
        <f>Ref_table!C281</f>
        <v>0</v>
      </c>
      <c r="D38" s="6">
        <f>Ref_table!D281</f>
        <v>0</v>
      </c>
      <c r="E38" s="6">
        <f>Ref_table!E281</f>
        <v>0</v>
      </c>
      <c r="F38" s="6">
        <f>Ref_table!F281</f>
        <v>0</v>
      </c>
      <c r="G38" s="6">
        <f>Ref_table!G281</f>
        <v>0</v>
      </c>
      <c r="H38" s="6">
        <f>Ref_table!H281</f>
        <v>0</v>
      </c>
      <c r="I38" s="136">
        <f>Ref_table!I281</f>
        <v>0</v>
      </c>
      <c r="J38" s="6">
        <f>Ref_table!J281</f>
        <v>0</v>
      </c>
      <c r="K38" s="135">
        <f>Ref_table!K281</f>
        <v>0</v>
      </c>
      <c r="L38" s="6">
        <f>Ref_table!L281</f>
        <v>0</v>
      </c>
      <c r="M38" s="6">
        <f>Ref_table!M281</f>
        <v>0</v>
      </c>
      <c r="N38" s="6">
        <f>Ref_table!N281</f>
        <v>0</v>
      </c>
      <c r="O38" s="3">
        <f>Ref_table!O281</f>
        <v>0</v>
      </c>
      <c r="P38" s="3">
        <f>Ref_table!P281</f>
        <v>0</v>
      </c>
      <c r="Q38" s="8">
        <f>Ref_table!Q281</f>
        <v>0</v>
      </c>
    </row>
    <row r="39" spans="1:17" ht="15">
      <c r="A39" s="1036" t="str">
        <f>Ref_table!A282</f>
        <v>[F2] Account of Territorial Ecosystem Capital Degradation (TECD) by stress factors (in EPUE)</v>
      </c>
      <c r="B39" s="1037">
        <f>Ref_table!B282</f>
        <v>0</v>
      </c>
      <c r="C39" s="1046" t="str">
        <f>Ref_table!C282</f>
        <v>Inland ecosytem landscapes</v>
      </c>
      <c r="D39" s="1046">
        <f>Ref_table!D282</f>
        <v>0</v>
      </c>
      <c r="E39" s="1046">
        <f>Ref_table!E282</f>
        <v>0</v>
      </c>
      <c r="F39" s="1046">
        <f>Ref_table!F282</f>
        <v>0</v>
      </c>
      <c r="G39" s="1046">
        <f>Ref_table!G282</f>
        <v>0</v>
      </c>
      <c r="H39" s="1046">
        <f>Ref_table!H282</f>
        <v>0</v>
      </c>
      <c r="I39" s="1046">
        <f>Ref_table!I282</f>
        <v>0</v>
      </c>
      <c r="J39" s="1046">
        <f>Ref_table!J282</f>
        <v>0</v>
      </c>
      <c r="K39" s="1048" t="str">
        <f>Ref_table!K282</f>
        <v>TOTAL 1 inland ecosystems</v>
      </c>
      <c r="L39" s="1055" t="str">
        <f>Ref_table!L282</f>
        <v>Sea</v>
      </c>
      <c r="M39" s="1046">
        <f>Ref_table!M282</f>
        <v>0</v>
      </c>
      <c r="N39" s="1046">
        <f>Ref_table!N282</f>
        <v>0</v>
      </c>
      <c r="O39" s="1046">
        <f>Ref_table!O282</f>
        <v>0</v>
      </c>
      <c r="P39" s="405" t="str">
        <f>Ref_table!P282</f>
        <v>Atmosphere</v>
      </c>
      <c r="Q39" s="1053" t="str">
        <f>Ref_table!Q282</f>
        <v>GRAND TOTAL</v>
      </c>
    </row>
    <row r="40" spans="1:17" ht="105">
      <c r="A40" s="1038">
        <f>Ref_table!A283</f>
        <v>0</v>
      </c>
      <c r="B40" s="1039">
        <f>Ref_table!B283</f>
        <v>0</v>
      </c>
      <c r="C40" s="704" t="str">
        <f>Ref_table!C283</f>
        <v>Dominant urban landscape</v>
      </c>
      <c r="D40" s="1027" t="str">
        <f>Ref_table!D283</f>
        <v>Dominant agriculture/ cropland</v>
      </c>
      <c r="E40" s="1027" t="str">
        <f>Ref_table!E283</f>
        <v>Dominant agriculture/ mixed landscape</v>
      </c>
      <c r="F40" s="1027" t="str">
        <f>Ref_table!F283</f>
        <v>Dominant forested landscape</v>
      </c>
      <c r="G40" s="1027" t="str">
        <f>Ref_table!G283</f>
        <v>Other dominant natural landscape</v>
      </c>
      <c r="H40" s="1027" t="str">
        <f>Ref_table!H283</f>
        <v>Composite landscape</v>
      </c>
      <c r="I40" s="322" t="str">
        <f>Ref_table!I283</f>
        <v>S/TOTAL  Land</v>
      </c>
      <c r="J40" s="1027" t="str">
        <f>Ref_table!J283</f>
        <v>Rivers </v>
      </c>
      <c r="K40" s="1049">
        <f>Ref_table!K283</f>
        <v>0</v>
      </c>
      <c r="L40" s="673" t="str">
        <f>Ref_table!L283</f>
        <v>Fisheries (EEZ, all fishing areas)</v>
      </c>
      <c r="M40" s="674" t="str">
        <f>Ref_table!M283</f>
        <v>International</v>
      </c>
      <c r="N40" s="675" t="str">
        <f>Ref_table!N283</f>
        <v>TOTAL  Fisheries</v>
      </c>
      <c r="O40" s="398" t="str">
        <f>Ref_table!O283</f>
        <v>Regulation potential (C assimilation)</v>
      </c>
      <c r="P40" s="400" t="str">
        <f>Ref_table!P283</f>
        <v>Regulation potential (C assimilation)</v>
      </c>
      <c r="Q40" s="1054">
        <f>Ref_table!Q283</f>
        <v>0</v>
      </c>
    </row>
    <row r="41" spans="1:17" ht="15">
      <c r="A41" s="295" t="str">
        <f>Ref_table!A284</f>
        <v>F9</v>
      </c>
      <c r="B41" s="287" t="str">
        <f>Ref_table!B284</f>
        <v>Territorial Ecosystem Capital Degradation (TECD), mean annual amount ~1995-~2005,  in 10^3 EPUE [F8-F10]</v>
      </c>
      <c r="C41" s="489">
        <f>Ref_table!C284</f>
        <v>2442992.656826953</v>
      </c>
      <c r="D41" s="489">
        <f>Ref_table!D284</f>
        <v>9092490.877676714</v>
      </c>
      <c r="E41" s="489">
        <f>Ref_table!E284</f>
        <v>6457282.454954695</v>
      </c>
      <c r="F41" s="489">
        <f>Ref_table!F284</f>
        <v>1336826.9844275422</v>
      </c>
      <c r="G41" s="489">
        <f>Ref_table!G284</f>
        <v>941469.6179442315</v>
      </c>
      <c r="H41" s="489">
        <f>Ref_table!H284</f>
        <v>10682587.01736277</v>
      </c>
      <c r="I41" s="132">
        <f>Ref_table!I284</f>
        <v>30953649.609192904</v>
      </c>
      <c r="J41" s="132">
        <f>Ref_table!J284</f>
        <v>1304100.3637435255</v>
      </c>
      <c r="K41" s="172">
        <f>Ref_table!K284</f>
        <v>32257749.97293643</v>
      </c>
      <c r="L41" s="328">
        <f>Ref_table!L284</f>
        <v>1758199.1243864843</v>
      </c>
      <c r="M41" s="132">
        <f>Ref_table!M284</f>
        <v>351639.82487729687</v>
      </c>
      <c r="N41" s="132">
        <f>Ref_table!N284</f>
        <v>2109838.9492637813</v>
      </c>
      <c r="O41" s="298">
        <f>Ref_table!O284</f>
        <v>0</v>
      </c>
      <c r="P41" s="431">
        <f>Ref_table!P284</f>
        <v>162958814.1719999</v>
      </c>
      <c r="Q41" s="431">
        <f>Ref_table!Q284</f>
        <v>197326403.0942001</v>
      </c>
    </row>
    <row r="42" spans="1:17" ht="15">
      <c r="A42" s="295" t="str">
        <f>Ref_table!A285</f>
        <v>f91</v>
      </c>
      <c r="B42" s="287" t="str">
        <f>Ref_table!B285</f>
        <v>Effect of land cover change</v>
      </c>
      <c r="C42" s="132">
        <f>Ref_table!C285</f>
        <v>0</v>
      </c>
      <c r="D42" s="489">
        <f>Ref_table!D285</f>
        <v>0</v>
      </c>
      <c r="E42" s="489">
        <f>Ref_table!E285</f>
        <v>0</v>
      </c>
      <c r="F42" s="489">
        <f>Ref_table!F285</f>
        <v>0</v>
      </c>
      <c r="G42" s="489">
        <f>Ref_table!G285</f>
        <v>0</v>
      </c>
      <c r="H42" s="489">
        <f>Ref_table!H285</f>
        <v>0</v>
      </c>
      <c r="I42" s="132">
        <f>Ref_table!I285</f>
        <v>0</v>
      </c>
      <c r="J42" s="132">
        <f>Ref_table!J285</f>
        <v>0</v>
      </c>
      <c r="K42" s="172">
        <f>Ref_table!K285</f>
        <v>0</v>
      </c>
      <c r="L42" s="328">
        <f>Ref_table!L285</f>
        <v>0</v>
      </c>
      <c r="M42" s="132">
        <f>Ref_table!M285</f>
        <v>0</v>
      </c>
      <c r="N42" s="132">
        <f>Ref_table!N285</f>
        <v>0</v>
      </c>
      <c r="O42" s="298">
        <f>Ref_table!O285</f>
        <v>0</v>
      </c>
      <c r="P42" s="431">
        <f>Ref_table!P285</f>
        <v>0</v>
      </c>
      <c r="Q42" s="431">
        <f>Ref_table!Q285</f>
        <v>0</v>
      </c>
    </row>
    <row r="43" spans="1:17" ht="15">
      <c r="A43" s="428" t="str">
        <f>Ref_table!A286</f>
        <v>f911</v>
      </c>
      <c r="B43" s="92" t="str">
        <f>Ref_table!B286</f>
        <v>Urban and infrastructures development over agriculture</v>
      </c>
      <c r="C43" s="747">
        <f>Ref_table!C286</f>
        <v>366448.8985240429</v>
      </c>
      <c r="D43" s="4">
        <f>Ref_table!D286</f>
        <v>909249.0877676714</v>
      </c>
      <c r="E43" s="4">
        <f>Ref_table!E286</f>
        <v>1291456.490990939</v>
      </c>
      <c r="F43" s="5">
        <f>Ref_table!F286</f>
        <v>0</v>
      </c>
      <c r="G43" s="4">
        <f>Ref_table!G286</f>
        <v>0</v>
      </c>
      <c r="H43" s="4">
        <f>Ref_table!H286</f>
        <v>3204776.105208831</v>
      </c>
      <c r="I43" s="132">
        <f>Ref_table!I286</f>
        <v>5771930.5824914845</v>
      </c>
      <c r="J43" s="4">
        <f>Ref_table!J286</f>
        <v>0</v>
      </c>
      <c r="K43" s="408">
        <f>Ref_table!K286</f>
        <v>5771930.5824914845</v>
      </c>
      <c r="L43" s="327">
        <f>Ref_table!L286</f>
        <v>0</v>
      </c>
      <c r="M43" s="4">
        <f>Ref_table!M286</f>
        <v>0</v>
      </c>
      <c r="N43" s="132">
        <f>Ref_table!N286</f>
        <v>0</v>
      </c>
      <c r="O43" s="568">
        <f>Ref_table!O286</f>
        <v>0</v>
      </c>
      <c r="P43" s="399">
        <f>Ref_table!P286</f>
        <v>0</v>
      </c>
      <c r="Q43" s="755">
        <f>Ref_table!Q286</f>
        <v>5771930.5824914845</v>
      </c>
    </row>
    <row r="44" spans="1:17" ht="15">
      <c r="A44" s="428" t="str">
        <f>Ref_table!A287</f>
        <v>f912</v>
      </c>
      <c r="B44" s="749" t="str">
        <f>Ref_table!B287</f>
        <v>Conversion of pasture/grassland to cropland</v>
      </c>
      <c r="C44" s="171">
        <f>Ref_table!C287</f>
        <v>244299.26568269532</v>
      </c>
      <c r="D44" s="10">
        <f>Ref_table!D287</f>
        <v>1818498.175535343</v>
      </c>
      <c r="E44" s="10">
        <f>Ref_table!E287</f>
        <v>645728.2454954695</v>
      </c>
      <c r="F44" s="10">
        <f>Ref_table!F287</f>
        <v>66841.34922137711</v>
      </c>
      <c r="G44" s="10">
        <f>Ref_table!G287</f>
        <v>376587.84717769263</v>
      </c>
      <c r="H44" s="10">
        <f>Ref_table!H287</f>
        <v>4273034.806945108</v>
      </c>
      <c r="I44" s="132">
        <f>Ref_table!I287</f>
        <v>7424989.690057686</v>
      </c>
      <c r="J44" s="4">
        <f>Ref_table!J287</f>
        <v>0</v>
      </c>
      <c r="K44" s="408">
        <f>Ref_table!K287</f>
        <v>7424989.690057686</v>
      </c>
      <c r="L44" s="327">
        <f>Ref_table!L287</f>
        <v>0</v>
      </c>
      <c r="M44" s="4">
        <f>Ref_table!M287</f>
        <v>0</v>
      </c>
      <c r="N44" s="132">
        <f>Ref_table!N287</f>
        <v>0</v>
      </c>
      <c r="O44" s="568">
        <f>Ref_table!O287</f>
        <v>0</v>
      </c>
      <c r="P44" s="399">
        <f>Ref_table!P287</f>
        <v>0</v>
      </c>
      <c r="Q44" s="755">
        <f>Ref_table!Q287</f>
        <v>7424989.690057686</v>
      </c>
    </row>
    <row r="45" spans="1:17" ht="15">
      <c r="A45" s="428" t="str">
        <f>Ref_table!A288</f>
        <v>f913</v>
      </c>
      <c r="B45" s="92" t="str">
        <f>Ref_table!B288</f>
        <v>Deforestation (forest land uptake by agriculture or urban sprawl)</v>
      </c>
      <c r="C45" s="747">
        <f>Ref_table!C288</f>
        <v>244299.26568269532</v>
      </c>
      <c r="D45" s="4">
        <f>Ref_table!D288</f>
        <v>909249.0877676714</v>
      </c>
      <c r="E45" s="4">
        <f>Ref_table!E288</f>
        <v>645728.2454954695</v>
      </c>
      <c r="F45" s="4">
        <f>Ref_table!F288</f>
        <v>133682.69844275422</v>
      </c>
      <c r="G45" s="4">
        <f>Ref_table!G288</f>
        <v>0</v>
      </c>
      <c r="H45" s="4">
        <f>Ref_table!H288</f>
        <v>1068258.701736277</v>
      </c>
      <c r="I45" s="132">
        <f>Ref_table!I288</f>
        <v>3001217.9991248674</v>
      </c>
      <c r="J45" s="4">
        <f>Ref_table!J288</f>
        <v>0</v>
      </c>
      <c r="K45" s="408">
        <f>Ref_table!K288</f>
        <v>3001217.9991248674</v>
      </c>
      <c r="L45" s="327">
        <f>Ref_table!L288</f>
        <v>0</v>
      </c>
      <c r="M45" s="4">
        <f>Ref_table!M288</f>
        <v>0</v>
      </c>
      <c r="N45" s="132">
        <f>Ref_table!N288</f>
        <v>0</v>
      </c>
      <c r="O45" s="568">
        <f>Ref_table!O288</f>
        <v>0</v>
      </c>
      <c r="P45" s="399">
        <f>Ref_table!P288</f>
        <v>0</v>
      </c>
      <c r="Q45" s="755">
        <f>Ref_table!Q288</f>
        <v>3001217.9991248674</v>
      </c>
    </row>
    <row r="46" spans="1:17" ht="15">
      <c r="A46" s="428" t="str">
        <f>Ref_table!A289</f>
        <v>f914</v>
      </c>
      <c r="B46" s="92" t="str">
        <f>Ref_table!B289</f>
        <v>Other shift to more artificial or intensive land cover type</v>
      </c>
      <c r="C46" s="747">
        <f>Ref_table!C289</f>
        <v>0</v>
      </c>
      <c r="D46" s="747">
        <f>Ref_table!D289</f>
        <v>0</v>
      </c>
      <c r="E46" s="747">
        <f>Ref_table!E289</f>
        <v>0</v>
      </c>
      <c r="F46" s="747">
        <f>Ref_table!F289</f>
        <v>0</v>
      </c>
      <c r="G46" s="747">
        <f>Ref_table!G289</f>
        <v>0</v>
      </c>
      <c r="H46" s="747">
        <f>Ref_table!H289</f>
        <v>0</v>
      </c>
      <c r="I46" s="132">
        <f>Ref_table!I289</f>
        <v>0</v>
      </c>
      <c r="J46" s="4">
        <f>Ref_table!J289</f>
        <v>0</v>
      </c>
      <c r="K46" s="408">
        <f>Ref_table!K289</f>
        <v>0</v>
      </c>
      <c r="L46" s="327">
        <f>Ref_table!L289</f>
        <v>0</v>
      </c>
      <c r="M46" s="4">
        <f>Ref_table!M289</f>
        <v>0</v>
      </c>
      <c r="N46" s="132">
        <f>Ref_table!N289</f>
        <v>0</v>
      </c>
      <c r="O46" s="568">
        <f>Ref_table!O289</f>
        <v>0</v>
      </c>
      <c r="P46" s="399">
        <f>Ref_table!P289</f>
        <v>0</v>
      </c>
      <c r="Q46" s="755">
        <f>Ref_table!Q289</f>
        <v>0</v>
      </c>
    </row>
    <row r="47" spans="1:17" ht="15">
      <c r="A47" s="295" t="str">
        <f>Ref_table!A290</f>
        <v>f92</v>
      </c>
      <c r="B47" s="287" t="str">
        <f>Ref_table!B290</f>
        <v>Restructuring/destructuring of landscapes and rivers</v>
      </c>
      <c r="C47" s="132">
        <f>Ref_table!C290</f>
        <v>244299.26568269532</v>
      </c>
      <c r="D47" s="489">
        <f>Ref_table!D290</f>
        <v>1363873.631651507</v>
      </c>
      <c r="E47" s="489">
        <f>Ref_table!E290</f>
        <v>1291456.490990939</v>
      </c>
      <c r="F47" s="489">
        <f>Ref_table!F290</f>
        <v>0</v>
      </c>
      <c r="G47" s="489">
        <f>Ref_table!G290</f>
        <v>376587.84717769263</v>
      </c>
      <c r="H47" s="489">
        <f>Ref_table!H290</f>
        <v>0</v>
      </c>
      <c r="I47" s="132">
        <f>Ref_table!I290</f>
        <v>3276217.235502834</v>
      </c>
      <c r="J47" s="132">
        <f>Ref_table!J290</f>
        <v>1043280.2909948204</v>
      </c>
      <c r="K47" s="172">
        <f>Ref_table!K290</f>
        <v>4319497.526497655</v>
      </c>
      <c r="L47" s="328">
        <f>Ref_table!L290</f>
        <v>0</v>
      </c>
      <c r="M47" s="132">
        <f>Ref_table!M290</f>
        <v>0</v>
      </c>
      <c r="N47" s="132">
        <f>Ref_table!N290</f>
        <v>0</v>
      </c>
      <c r="O47" s="298">
        <f>Ref_table!O290</f>
        <v>0</v>
      </c>
      <c r="P47" s="431">
        <f>Ref_table!P290</f>
        <v>0</v>
      </c>
      <c r="Q47" s="431">
        <f>Ref_table!Q290</f>
        <v>4319497.526497655</v>
      </c>
    </row>
    <row r="48" spans="1:17" ht="15">
      <c r="A48" s="295" t="str">
        <f>Ref_table!A291</f>
        <v>f93</v>
      </c>
      <c r="B48" s="287" t="str">
        <f>Ref_table!B291</f>
        <v>Overexploitation of biological resources</v>
      </c>
      <c r="C48" s="132">
        <f>Ref_table!C291</f>
        <v>0</v>
      </c>
      <c r="D48" s="489">
        <f>Ref_table!D291</f>
        <v>0</v>
      </c>
      <c r="E48" s="489">
        <f>Ref_table!E291</f>
        <v>0</v>
      </c>
      <c r="F48" s="489">
        <f>Ref_table!F291</f>
        <v>0</v>
      </c>
      <c r="G48" s="489">
        <f>Ref_table!G291</f>
        <v>0</v>
      </c>
      <c r="H48" s="489">
        <f>Ref_table!H291</f>
        <v>0</v>
      </c>
      <c r="I48" s="132">
        <f>Ref_table!I291</f>
        <v>0</v>
      </c>
      <c r="J48" s="132">
        <f>Ref_table!J291</f>
        <v>0</v>
      </c>
      <c r="K48" s="172">
        <f>Ref_table!K291</f>
        <v>0</v>
      </c>
      <c r="L48" s="328">
        <f>Ref_table!L291</f>
        <v>0</v>
      </c>
      <c r="M48" s="132">
        <f>Ref_table!M291</f>
        <v>0</v>
      </c>
      <c r="N48" s="132">
        <f>Ref_table!N291</f>
        <v>0</v>
      </c>
      <c r="O48" s="298">
        <f>Ref_table!O291</f>
        <v>0</v>
      </c>
      <c r="P48" s="431">
        <f>Ref_table!P291</f>
        <v>0</v>
      </c>
      <c r="Q48" s="431">
        <f>Ref_table!Q291</f>
        <v>0</v>
      </c>
    </row>
    <row r="49" spans="1:17" ht="15">
      <c r="A49" s="428" t="str">
        <f>Ref_table!A292</f>
        <v>f931</v>
      </c>
      <c r="B49" s="92" t="str">
        <f>Ref_table!B292</f>
        <v>Agriculture overharvesting and over grazing</v>
      </c>
      <c r="C49" s="92">
        <f>Ref_table!C292</f>
        <v>0</v>
      </c>
      <c r="D49" s="747">
        <f>Ref_table!D292</f>
        <v>2273122.7194191786</v>
      </c>
      <c r="E49" s="9">
        <f>Ref_table!E292</f>
        <v>645728.2454954695</v>
      </c>
      <c r="F49" s="9">
        <f>Ref_table!F292</f>
        <v>0</v>
      </c>
      <c r="G49" s="9">
        <f>Ref_table!G292</f>
        <v>0</v>
      </c>
      <c r="H49" s="9">
        <f>Ref_table!H292</f>
        <v>1068258.701736277</v>
      </c>
      <c r="I49" s="132">
        <f>Ref_table!I292</f>
        <v>3987109.666650925</v>
      </c>
      <c r="J49" s="4">
        <f>Ref_table!J292</f>
        <v>0</v>
      </c>
      <c r="K49" s="408">
        <f>Ref_table!K292</f>
        <v>3987109.666650925</v>
      </c>
      <c r="L49" s="327">
        <f>Ref_table!L292</f>
        <v>0</v>
      </c>
      <c r="M49" s="4">
        <f>Ref_table!M292</f>
        <v>0</v>
      </c>
      <c r="N49" s="132">
        <f>Ref_table!N292</f>
        <v>0</v>
      </c>
      <c r="O49" s="568">
        <f>Ref_table!O292</f>
        <v>0</v>
      </c>
      <c r="P49" s="399">
        <f>Ref_table!P292</f>
        <v>0</v>
      </c>
      <c r="Q49" s="755">
        <f>Ref_table!Q292</f>
        <v>3987109.666650925</v>
      </c>
    </row>
    <row r="50" spans="1:17" ht="15">
      <c r="A50" s="428" t="str">
        <f>Ref_table!A293</f>
        <v>f932</v>
      </c>
      <c r="B50" s="92" t="str">
        <f>Ref_table!B293</f>
        <v>Clearing of forest beyond mean NEP</v>
      </c>
      <c r="C50" s="171">
        <f>Ref_table!C293</f>
        <v>0</v>
      </c>
      <c r="D50" s="10">
        <f>Ref_table!D293</f>
        <v>0</v>
      </c>
      <c r="E50" s="4">
        <f>Ref_table!E293</f>
        <v>322864.1227477348</v>
      </c>
      <c r="F50" s="10">
        <f>Ref_table!F293</f>
        <v>802096.1906565253</v>
      </c>
      <c r="G50" s="4">
        <f>Ref_table!G293</f>
        <v>0</v>
      </c>
      <c r="H50" s="4">
        <f>Ref_table!H293</f>
        <v>0</v>
      </c>
      <c r="I50" s="132">
        <f>Ref_table!I293</f>
        <v>1124960.3134042602</v>
      </c>
      <c r="J50" s="4">
        <f>Ref_table!J293</f>
        <v>0</v>
      </c>
      <c r="K50" s="408">
        <f>Ref_table!K293</f>
        <v>1124960.3134042602</v>
      </c>
      <c r="L50" s="327">
        <f>Ref_table!L293</f>
        <v>0</v>
      </c>
      <c r="M50" s="4">
        <f>Ref_table!M293</f>
        <v>0</v>
      </c>
      <c r="N50" s="132">
        <f>Ref_table!N293</f>
        <v>0</v>
      </c>
      <c r="O50" s="568">
        <f>Ref_table!O293</f>
        <v>0</v>
      </c>
      <c r="P50" s="399">
        <f>Ref_table!P293</f>
        <v>0</v>
      </c>
      <c r="Q50" s="755">
        <f>Ref_table!Q293</f>
        <v>1124960.3134042602</v>
      </c>
    </row>
    <row r="51" spans="1:17" ht="15">
      <c r="A51" s="428" t="str">
        <f>Ref_table!A294</f>
        <v>f933</v>
      </c>
      <c r="B51" s="36" t="str">
        <f>Ref_table!B294</f>
        <v>Overfishing</v>
      </c>
      <c r="C51" s="747">
        <f>Ref_table!C294</f>
        <v>0</v>
      </c>
      <c r="D51" s="4">
        <f>Ref_table!D294</f>
        <v>0</v>
      </c>
      <c r="E51" s="4">
        <f>Ref_table!E294</f>
        <v>0</v>
      </c>
      <c r="F51" s="10">
        <f>Ref_table!F294</f>
        <v>0</v>
      </c>
      <c r="G51" s="9">
        <f>Ref_table!G294</f>
        <v>0</v>
      </c>
      <c r="H51" s="4">
        <f>Ref_table!H294</f>
        <v>0</v>
      </c>
      <c r="I51" s="132">
        <f>Ref_table!I294</f>
        <v>0</v>
      </c>
      <c r="J51" s="4">
        <f>Ref_table!J294</f>
        <v>260820.07274870505</v>
      </c>
      <c r="K51" s="408">
        <f>Ref_table!K294</f>
        <v>260820.07274870505</v>
      </c>
      <c r="L51" s="327">
        <f>Ref_table!L294</f>
        <v>1758199.1243864843</v>
      </c>
      <c r="M51" s="4">
        <f>Ref_table!M294</f>
        <v>351639.82487729687</v>
      </c>
      <c r="N51" s="132">
        <f>Ref_table!N294</f>
        <v>2109838.9492637813</v>
      </c>
      <c r="O51" s="568">
        <f>Ref_table!O294</f>
        <v>0</v>
      </c>
      <c r="P51" s="399">
        <f>Ref_table!P294</f>
        <v>0</v>
      </c>
      <c r="Q51" s="755">
        <f>Ref_table!Q294</f>
        <v>2370659.022012486</v>
      </c>
    </row>
    <row r="52" spans="1:17" ht="15">
      <c r="A52" s="428" t="str">
        <f>Ref_table!A295</f>
        <v>f934</v>
      </c>
      <c r="B52" s="36" t="str">
        <f>Ref_table!B295</f>
        <v>Overhunting</v>
      </c>
      <c r="C52" s="6">
        <f>Ref_table!C295</f>
        <v>0</v>
      </c>
      <c r="D52" s="4">
        <f>Ref_table!D295</f>
        <v>0</v>
      </c>
      <c r="E52" s="4">
        <f>Ref_table!E295</f>
        <v>0</v>
      </c>
      <c r="F52" s="10">
        <f>Ref_table!F295</f>
        <v>0</v>
      </c>
      <c r="G52" s="9">
        <f>Ref_table!G295</f>
        <v>0</v>
      </c>
      <c r="H52" s="4">
        <f>Ref_table!H295</f>
        <v>0</v>
      </c>
      <c r="I52" s="132">
        <f>Ref_table!I295</f>
        <v>0</v>
      </c>
      <c r="J52" s="4">
        <f>Ref_table!J295</f>
        <v>0</v>
      </c>
      <c r="K52" s="408">
        <f>Ref_table!K295</f>
        <v>0</v>
      </c>
      <c r="L52" s="327">
        <f>Ref_table!L295</f>
        <v>0</v>
      </c>
      <c r="M52" s="4">
        <f>Ref_table!M295</f>
        <v>0</v>
      </c>
      <c r="N52" s="132">
        <f>Ref_table!N295</f>
        <v>0</v>
      </c>
      <c r="O52" s="568">
        <f>Ref_table!O295</f>
        <v>0</v>
      </c>
      <c r="P52" s="399">
        <f>Ref_table!P295</f>
        <v>0</v>
      </c>
      <c r="Q52" s="755">
        <f>Ref_table!Q295</f>
        <v>0</v>
      </c>
    </row>
    <row r="53" spans="1:17" ht="15">
      <c r="A53" s="295" t="str">
        <f>Ref_table!A296</f>
        <v>f94</v>
      </c>
      <c r="B53" s="287" t="str">
        <f>Ref_table!B296</f>
        <v>Waste disposal, pollution</v>
      </c>
      <c r="C53" s="132">
        <f>Ref_table!C296</f>
        <v>0</v>
      </c>
      <c r="D53" s="489">
        <f>Ref_table!D296</f>
        <v>0</v>
      </c>
      <c r="E53" s="489">
        <f>Ref_table!E296</f>
        <v>0</v>
      </c>
      <c r="F53" s="489">
        <f>Ref_table!F296</f>
        <v>0</v>
      </c>
      <c r="G53" s="489">
        <f>Ref_table!G296</f>
        <v>0</v>
      </c>
      <c r="H53" s="489">
        <f>Ref_table!H296</f>
        <v>0</v>
      </c>
      <c r="I53" s="132">
        <f>Ref_table!I296</f>
        <v>0</v>
      </c>
      <c r="J53" s="132">
        <f>Ref_table!J296</f>
        <v>0</v>
      </c>
      <c r="K53" s="172">
        <f>Ref_table!K296</f>
        <v>0</v>
      </c>
      <c r="L53" s="328">
        <f>Ref_table!L296</f>
        <v>0</v>
      </c>
      <c r="M53" s="132">
        <f>Ref_table!M296</f>
        <v>0</v>
      </c>
      <c r="N53" s="132">
        <f>Ref_table!N296</f>
        <v>0</v>
      </c>
      <c r="O53" s="298">
        <f>Ref_table!O296</f>
        <v>0</v>
      </c>
      <c r="P53" s="431">
        <f>Ref_table!P296</f>
        <v>0</v>
      </c>
      <c r="Q53" s="431">
        <f>Ref_table!Q296</f>
        <v>0</v>
      </c>
    </row>
    <row r="54" spans="1:17" ht="15">
      <c r="A54" s="428" t="str">
        <f>Ref_table!A297</f>
        <v>f941</v>
      </c>
      <c r="B54" s="36" t="str">
        <f>Ref_table!B297</f>
        <v>Pollution/ Use of chemicals in agriculture, forestry</v>
      </c>
      <c r="C54" s="5">
        <f>Ref_table!C297</f>
        <v>0</v>
      </c>
      <c r="D54" s="4">
        <f>Ref_table!D297</f>
        <v>454624.5438838357</v>
      </c>
      <c r="E54" s="4">
        <f>Ref_table!E297</f>
        <v>645728.2454954695</v>
      </c>
      <c r="F54" s="10">
        <f>Ref_table!F297</f>
        <v>26736.539688550845</v>
      </c>
      <c r="G54" s="4">
        <f>Ref_table!G297</f>
        <v>0</v>
      </c>
      <c r="H54" s="4">
        <f>Ref_table!H297</f>
        <v>0</v>
      </c>
      <c r="I54" s="132">
        <f>Ref_table!I297</f>
        <v>1127089.329067856</v>
      </c>
      <c r="J54" s="4">
        <f>Ref_table!J297</f>
        <v>0</v>
      </c>
      <c r="K54" s="408">
        <f>Ref_table!K297</f>
        <v>1127089.329067856</v>
      </c>
      <c r="L54" s="327">
        <f>Ref_table!L297</f>
        <v>0</v>
      </c>
      <c r="M54" s="4">
        <f>Ref_table!M297</f>
        <v>0</v>
      </c>
      <c r="N54" s="132">
        <f>Ref_table!N297</f>
        <v>0</v>
      </c>
      <c r="O54" s="568">
        <f>Ref_table!O297</f>
        <v>0</v>
      </c>
      <c r="P54" s="399">
        <f>Ref_table!P297</f>
        <v>0</v>
      </c>
      <c r="Q54" s="755">
        <f>Ref_table!Q297</f>
        <v>1127089.329067856</v>
      </c>
    </row>
    <row r="55" spans="1:17" ht="15">
      <c r="A55" s="428" t="str">
        <f>Ref_table!A298</f>
        <v>f942</v>
      </c>
      <c r="B55" s="36" t="str">
        <f>Ref_table!B298</f>
        <v>Pollution/ Waste dumping</v>
      </c>
      <c r="C55" s="747">
        <f>Ref_table!C298</f>
        <v>610748.1642067382</v>
      </c>
      <c r="D55" s="4">
        <f>Ref_table!D298</f>
        <v>0</v>
      </c>
      <c r="E55" s="4">
        <f>Ref_table!E298</f>
        <v>322864.1227477348</v>
      </c>
      <c r="F55" s="4">
        <f>Ref_table!F298</f>
        <v>133682.69844275422</v>
      </c>
      <c r="G55" s="10">
        <f>Ref_table!G298</f>
        <v>94146.96179442316</v>
      </c>
      <c r="H55" s="9">
        <f>Ref_table!H298</f>
        <v>1068258.701736277</v>
      </c>
      <c r="I55" s="132">
        <f>Ref_table!I298</f>
        <v>2229700.648927927</v>
      </c>
      <c r="J55" s="4">
        <f>Ref_table!J298</f>
        <v>0</v>
      </c>
      <c r="K55" s="408">
        <f>Ref_table!K298</f>
        <v>2229700.648927927</v>
      </c>
      <c r="L55" s="327">
        <f>Ref_table!L298</f>
        <v>0</v>
      </c>
      <c r="M55" s="4">
        <f>Ref_table!M298</f>
        <v>0</v>
      </c>
      <c r="N55" s="132">
        <f>Ref_table!N298</f>
        <v>0</v>
      </c>
      <c r="O55" s="568">
        <f>Ref_table!O298</f>
        <v>0</v>
      </c>
      <c r="P55" s="399">
        <f>Ref_table!P298</f>
        <v>0</v>
      </c>
      <c r="Q55" s="755">
        <f>Ref_table!Q298</f>
        <v>2229700.648927927</v>
      </c>
    </row>
    <row r="56" spans="1:17" ht="15">
      <c r="A56" s="428" t="str">
        <f>Ref_table!A299</f>
        <v>f943</v>
      </c>
      <c r="B56" s="750" t="str">
        <f>Ref_table!B299</f>
        <v>Water pollution</v>
      </c>
      <c r="C56" s="747">
        <f>Ref_table!C299</f>
        <v>732897.7970480858</v>
      </c>
      <c r="D56" s="4">
        <f>Ref_table!D299</f>
        <v>1363873.631651507</v>
      </c>
      <c r="E56" s="4">
        <f>Ref_table!E299</f>
        <v>645728.2454954695</v>
      </c>
      <c r="F56" s="10">
        <f>Ref_table!F299</f>
        <v>133682.69844275422</v>
      </c>
      <c r="G56" s="5">
        <f>Ref_table!G299</f>
        <v>0</v>
      </c>
      <c r="H56" s="4">
        <f>Ref_table!H299</f>
        <v>0</v>
      </c>
      <c r="I56" s="132">
        <f>Ref_table!I299</f>
        <v>2876182.3726378167</v>
      </c>
      <c r="J56" s="4">
        <f>Ref_table!J299</f>
        <v>0</v>
      </c>
      <c r="K56" s="408">
        <f>Ref_table!K299</f>
        <v>2876182.3726378167</v>
      </c>
      <c r="L56" s="327">
        <f>Ref_table!L299</f>
        <v>0</v>
      </c>
      <c r="M56" s="4">
        <f>Ref_table!M299</f>
        <v>0</v>
      </c>
      <c r="N56" s="132">
        <f>Ref_table!N299</f>
        <v>0</v>
      </c>
      <c r="O56" s="568">
        <f>Ref_table!O299</f>
        <v>0</v>
      </c>
      <c r="P56" s="399">
        <f>Ref_table!P299</f>
        <v>0</v>
      </c>
      <c r="Q56" s="755">
        <f>Ref_table!Q299</f>
        <v>2876182.3726378167</v>
      </c>
    </row>
    <row r="57" spans="1:17" ht="15">
      <c r="A57" s="428" t="str">
        <f>Ref_table!A300</f>
        <v>f944</v>
      </c>
      <c r="B57" s="36" t="str">
        <f>Ref_table!B300</f>
        <v>Air pollution</v>
      </c>
      <c r="C57" s="747">
        <f>Ref_table!C300</f>
        <v>0</v>
      </c>
      <c r="D57" s="4">
        <f>Ref_table!D300</f>
        <v>0</v>
      </c>
      <c r="E57" s="5">
        <f>Ref_table!E300</f>
        <v>0</v>
      </c>
      <c r="F57" s="10">
        <f>Ref_table!F300</f>
        <v>40104.809532826264</v>
      </c>
      <c r="G57" s="10">
        <f>Ref_table!G300</f>
        <v>94146.96179442316</v>
      </c>
      <c r="H57" s="4">
        <f>Ref_table!H300</f>
        <v>0</v>
      </c>
      <c r="I57" s="132">
        <f>Ref_table!I300</f>
        <v>134251.77132724941</v>
      </c>
      <c r="J57" s="4">
        <f>Ref_table!J300</f>
        <v>0</v>
      </c>
      <c r="K57" s="408">
        <f>Ref_table!K300</f>
        <v>134251.77132724941</v>
      </c>
      <c r="L57" s="327">
        <f>Ref_table!L300</f>
        <v>0</v>
      </c>
      <c r="M57" s="4">
        <f>Ref_table!M300</f>
        <v>0</v>
      </c>
      <c r="N57" s="132">
        <f>Ref_table!N300</f>
        <v>0</v>
      </c>
      <c r="O57" s="568">
        <f>Ref_table!O300</f>
        <v>0</v>
      </c>
      <c r="P57" s="399">
        <f>Ref_table!P300</f>
        <v>0</v>
      </c>
      <c r="Q57" s="755">
        <f>Ref_table!Q300</f>
        <v>134251.77132724941</v>
      </c>
    </row>
    <row r="58" spans="1:17" ht="15.75" thickBot="1">
      <c r="A58" s="429" t="str">
        <f>Ref_table!A301</f>
        <v>f945</v>
      </c>
      <c r="B58" s="751" t="str">
        <f>Ref_table!B301</f>
        <v>Emission of GHGs</v>
      </c>
      <c r="C58" s="748">
        <f>Ref_table!C301</f>
        <v>0</v>
      </c>
      <c r="D58" s="191">
        <f>Ref_table!D301</f>
        <v>0</v>
      </c>
      <c r="E58" s="191">
        <f>Ref_table!E301</f>
        <v>0</v>
      </c>
      <c r="F58" s="355">
        <f>Ref_table!F301</f>
        <v>0</v>
      </c>
      <c r="G58" s="356">
        <f>Ref_table!G301</f>
        <v>0</v>
      </c>
      <c r="H58" s="191">
        <f>Ref_table!H301</f>
        <v>0</v>
      </c>
      <c r="I58" s="270">
        <f>Ref_table!I301</f>
        <v>0</v>
      </c>
      <c r="J58" s="191">
        <f>Ref_table!J301</f>
        <v>0</v>
      </c>
      <c r="K58" s="409">
        <f>Ref_table!K301</f>
        <v>0</v>
      </c>
      <c r="L58" s="404">
        <f>Ref_table!L301</f>
        <v>0</v>
      </c>
      <c r="M58" s="191">
        <f>Ref_table!M301</f>
        <v>0</v>
      </c>
      <c r="N58" s="270">
        <f>Ref_table!N301</f>
        <v>0</v>
      </c>
      <c r="O58" s="569">
        <f>Ref_table!O301</f>
        <v>0</v>
      </c>
      <c r="P58" s="401">
        <f>Ref_table!P301</f>
        <v>162958814.1719999</v>
      </c>
      <c r="Q58" s="756">
        <f>Ref_table!Q301</f>
        <v>162958814.1719999</v>
      </c>
    </row>
    <row r="59" ht="15">
      <c r="A59" s="93"/>
    </row>
    <row r="60" ht="15">
      <c r="A60" s="93"/>
    </row>
  </sheetData>
  <sheetProtection/>
  <mergeCells count="18">
    <mergeCell ref="A6:Q6"/>
    <mergeCell ref="A10:Q10"/>
    <mergeCell ref="A24:K24"/>
    <mergeCell ref="A39:B40"/>
    <mergeCell ref="C39:J39"/>
    <mergeCell ref="K39:K40"/>
    <mergeCell ref="L39:O39"/>
    <mergeCell ref="Q39:Q40"/>
    <mergeCell ref="A3:B5"/>
    <mergeCell ref="C3:J3"/>
    <mergeCell ref="K3:K5"/>
    <mergeCell ref="L3:O3"/>
    <mergeCell ref="Q3:Q5"/>
    <mergeCell ref="I4:I5"/>
    <mergeCell ref="J4:J5"/>
    <mergeCell ref="N4:N5"/>
    <mergeCell ref="C5:H5"/>
    <mergeCell ref="L5:M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6"/>
  <sheetViews>
    <sheetView showZeros="0" zoomScale="60" zoomScaleNormal="60" zoomScalePageLayoutView="0" workbookViewId="0" topLeftCell="A1">
      <selection activeCell="H31" sqref="H31"/>
    </sheetView>
  </sheetViews>
  <sheetFormatPr defaultColWidth="9.140625" defaultRowHeight="15"/>
  <cols>
    <col min="1" max="1" width="15.8515625" style="0" customWidth="1"/>
    <col min="2" max="2" width="99.7109375" style="0" customWidth="1"/>
    <col min="3" max="3" width="12.421875" style="0" customWidth="1"/>
    <col min="4" max="4" width="13.7109375" style="0" customWidth="1"/>
    <col min="5" max="5" width="14.8515625" style="0" customWidth="1"/>
    <col min="6" max="6" width="11.7109375" style="0" customWidth="1"/>
    <col min="7" max="7" width="13.8515625" style="0" customWidth="1"/>
    <col min="8" max="9" width="12.57421875" style="0" customWidth="1"/>
    <col min="10" max="10" width="14.140625" style="0" customWidth="1"/>
    <col min="11" max="11" width="15.00390625" style="0" customWidth="1"/>
    <col min="12" max="12" width="12.00390625" style="0" customWidth="1"/>
    <col min="13" max="13" width="14.140625" style="0" customWidth="1"/>
    <col min="14" max="14" width="12.00390625" style="0" customWidth="1"/>
    <col min="15" max="15" width="12.7109375" style="0" customWidth="1"/>
    <col min="16" max="17" width="17.7109375" style="0" customWidth="1"/>
  </cols>
  <sheetData>
    <row r="1" ht="15">
      <c r="A1" t="str">
        <f>'Table F - Total Potential'!A1</f>
        <v>SECA - Simplified Ecosystem Capital Accounts</v>
      </c>
    </row>
    <row r="2" ht="15.75" thickBot="1">
      <c r="A2" s="93" t="str">
        <f>'Table F - Total Potential'!A2</f>
        <v>Draft Tables and Mock-up</v>
      </c>
    </row>
    <row r="3" spans="1:17" ht="15">
      <c r="A3" s="1036" t="str">
        <f>Ref_table!A303</f>
        <v>[G] Demand and Accessibility to Ecosystem Services:                                                                       Ecosystem Carbon/Biomass,                                                                                                                                 Ecosystem Fresh Water,                                                                                                                                            Green Infrastructure Neighbourhood Ecosystem Services (GINES) </v>
      </c>
      <c r="B3" s="1037">
        <f>Ref_table!B303</f>
        <v>0</v>
      </c>
      <c r="C3" s="1075" t="str">
        <f>Ref_table!C303</f>
        <v>Inland ecosytem landscapes</v>
      </c>
      <c r="D3" s="1075">
        <f>Ref_table!D303</f>
        <v>0</v>
      </c>
      <c r="E3" s="1075">
        <f>Ref_table!E303</f>
        <v>0</v>
      </c>
      <c r="F3" s="1075">
        <f>Ref_table!F303</f>
        <v>0</v>
      </c>
      <c r="G3" s="1075">
        <f>Ref_table!G303</f>
        <v>0</v>
      </c>
      <c r="H3" s="1075">
        <f>Ref_table!H303</f>
        <v>0</v>
      </c>
      <c r="I3" s="1075">
        <f>Ref_table!I303</f>
        <v>0</v>
      </c>
      <c r="J3" s="1075">
        <f>Ref_table!J303</f>
        <v>0</v>
      </c>
      <c r="K3" s="1076">
        <f>Ref_table!K303</f>
        <v>0</v>
      </c>
      <c r="L3" s="1046" t="str">
        <f>Ref_table!L303</f>
        <v>Sea</v>
      </c>
      <c r="M3" s="1046">
        <f>Ref_table!M303</f>
        <v>0</v>
      </c>
      <c r="N3" s="1075">
        <f>Ref_table!N303</f>
        <v>0</v>
      </c>
      <c r="O3" s="1046">
        <f>Ref_table!O303</f>
        <v>0</v>
      </c>
      <c r="P3" s="405" t="str">
        <f>Ref_table!P303</f>
        <v>Atmosphere</v>
      </c>
      <c r="Q3" s="1053" t="str">
        <f>Ref_table!Q303</f>
        <v>GRAND TOTAL</v>
      </c>
    </row>
    <row r="4" spans="1:17" ht="105">
      <c r="A4" s="1038">
        <f>Ref_table!A304</f>
        <v>0</v>
      </c>
      <c r="B4" s="1039">
        <f>Ref_table!B304</f>
        <v>0</v>
      </c>
      <c r="C4" s="704" t="str">
        <f>Ref_table!C304</f>
        <v>Dominant urban landscape</v>
      </c>
      <c r="D4" s="1027" t="str">
        <f>Ref_table!D304</f>
        <v>Dominant agriculture/ cropland</v>
      </c>
      <c r="E4" s="1027" t="str">
        <f>Ref_table!E304</f>
        <v>Dominant agriculture/ mixed landscape</v>
      </c>
      <c r="F4" s="1027" t="str">
        <f>Ref_table!F304</f>
        <v>Dominant forested landscape</v>
      </c>
      <c r="G4" s="1027" t="str">
        <f>Ref_table!G304</f>
        <v>Other dominant natural landscape</v>
      </c>
      <c r="H4" s="1027" t="str">
        <f>Ref_table!H304</f>
        <v>Composite landscape</v>
      </c>
      <c r="I4" s="322" t="str">
        <f>Ref_table!I304</f>
        <v>S/TOTAL  Land</v>
      </c>
      <c r="J4" s="1027" t="str">
        <f>Ref_table!J304</f>
        <v>Rivers </v>
      </c>
      <c r="K4" s="407" t="str">
        <f>Ref_table!K304</f>
        <v>TOTAL 1 inland ecosystems</v>
      </c>
      <c r="L4" s="704" t="str">
        <f>Ref_table!L304</f>
        <v>Fisheries (EEZ, all fishing areas)</v>
      </c>
      <c r="M4" s="398" t="str">
        <f>Ref_table!M304</f>
        <v>International</v>
      </c>
      <c r="N4" s="322" t="str">
        <f>Ref_table!N304</f>
        <v>TOTAL  Fisheries</v>
      </c>
      <c r="O4" s="860" t="str">
        <f>Ref_table!O304</f>
        <v>Climate regulation potential</v>
      </c>
      <c r="P4" s="400" t="str">
        <f>Ref_table!P304</f>
        <v>Climate regulation potential</v>
      </c>
      <c r="Q4" s="1054">
        <f>Ref_table!Q304</f>
        <v>0</v>
      </c>
    </row>
    <row r="5" spans="1:17" ht="15.75">
      <c r="A5" s="413" t="str">
        <f>Ref_table!A305</f>
        <v>A1</v>
      </c>
      <c r="B5" s="574" t="str">
        <f>Ref_table!B305</f>
        <v>Total EU27 1990, km^2</v>
      </c>
      <c r="C5" s="410">
        <f>Ref_table!C305</f>
        <v>351210.1</v>
      </c>
      <c r="D5" s="410">
        <f>Ref_table!D305</f>
        <v>755804.99</v>
      </c>
      <c r="E5" s="410">
        <f>Ref_table!E305</f>
        <v>591091.8</v>
      </c>
      <c r="F5" s="410">
        <f>Ref_table!F305</f>
        <v>680760.12</v>
      </c>
      <c r="G5" s="410">
        <f>Ref_table!G305</f>
        <v>432991.19</v>
      </c>
      <c r="H5" s="410">
        <f>Ref_table!H305</f>
        <v>1512894.87</v>
      </c>
      <c r="I5" s="410">
        <f>Ref_table!I305</f>
        <v>4324753.07</v>
      </c>
      <c r="J5" s="494">
        <f>Ref_table!J305</f>
        <v>0</v>
      </c>
      <c r="K5" s="706">
        <f>Ref_table!K305</f>
        <v>0</v>
      </c>
      <c r="L5" s="705">
        <f>Ref_table!L305</f>
        <v>0</v>
      </c>
      <c r="M5" s="636">
        <f>Ref_table!M305</f>
        <v>0</v>
      </c>
      <c r="N5" s="637">
        <f>Ref_table!N305</f>
        <v>0</v>
      </c>
      <c r="O5" s="861">
        <f>Ref_table!O305</f>
        <v>0</v>
      </c>
      <c r="P5" s="638">
        <f>Ref_table!P305</f>
        <v>0</v>
      </c>
      <c r="Q5" s="953">
        <f>Ref_table!Q305</f>
        <v>0</v>
      </c>
    </row>
    <row r="6" spans="1:17" ht="15.75">
      <c r="A6" s="794" t="str">
        <f>Ref_table!A306</f>
        <v>a11</v>
      </c>
      <c r="B6" s="795" t="str">
        <f>Ref_table!B306</f>
        <v>1 - Artificial surfaces, urban land cover EU27, 1990 (~1995), km^2</v>
      </c>
      <c r="C6" s="796">
        <f>Ref_table!C306</f>
        <v>102011.43</v>
      </c>
      <c r="D6" s="796">
        <f>Ref_table!D306</f>
        <v>20245.44</v>
      </c>
      <c r="E6" s="796">
        <f>Ref_table!E306</f>
        <v>11432.47</v>
      </c>
      <c r="F6" s="796">
        <f>Ref_table!F306</f>
        <v>5342.28</v>
      </c>
      <c r="G6" s="796">
        <f>Ref_table!G306</f>
        <v>2912.93</v>
      </c>
      <c r="H6" s="796">
        <f>Ref_table!H306</f>
        <v>34546.29</v>
      </c>
      <c r="I6" s="798">
        <f>Ref_table!I306</f>
        <v>176490.84</v>
      </c>
      <c r="J6" s="797">
        <f>Ref_table!J306</f>
        <v>0</v>
      </c>
      <c r="K6" s="799">
        <f>Ref_table!K306</f>
        <v>0</v>
      </c>
      <c r="L6" s="824">
        <f>Ref_table!L306</f>
        <v>0</v>
      </c>
      <c r="M6" s="825">
        <f>Ref_table!M306</f>
        <v>0</v>
      </c>
      <c r="N6" s="800">
        <f>Ref_table!N306</f>
        <v>0</v>
      </c>
      <c r="O6" s="798">
        <f>Ref_table!O306</f>
        <v>0</v>
      </c>
      <c r="P6" s="801">
        <f>Ref_table!P306</f>
        <v>0</v>
      </c>
      <c r="Q6" s="954">
        <f>Ref_table!Q306</f>
        <v>0</v>
      </c>
    </row>
    <row r="7" spans="1:17" ht="15">
      <c r="A7" s="261">
        <f>Ref_table!A307</f>
        <v>0</v>
      </c>
      <c r="B7" s="109" t="str">
        <f>Ref_table!B307</f>
        <v>Mean "1 - Artificial" per km^2, ~1995, %</v>
      </c>
      <c r="C7" s="783">
        <f>Ref_table!C307</f>
        <v>29.045699426070037</v>
      </c>
      <c r="D7" s="783">
        <f>Ref_table!D307</f>
        <v>2.6786592134037113</v>
      </c>
      <c r="E7" s="783">
        <f>Ref_table!E307</f>
        <v>1.934127660035209</v>
      </c>
      <c r="F7" s="783">
        <f>Ref_table!F307</f>
        <v>0.7847521972938132</v>
      </c>
      <c r="G7" s="783">
        <f>Ref_table!G307</f>
        <v>0.6727457895852338</v>
      </c>
      <c r="H7" s="783">
        <f>Ref_table!H307</f>
        <v>2.283456087071007</v>
      </c>
      <c r="I7" s="783">
        <f>Ref_table!I307</f>
        <v>4.080946059655609</v>
      </c>
      <c r="J7" s="92">
        <f>Ref_table!J307</f>
        <v>0</v>
      </c>
      <c r="K7" s="458">
        <f>Ref_table!K307</f>
        <v>0</v>
      </c>
      <c r="L7" s="93">
        <f>Ref_table!L307</f>
        <v>0</v>
      </c>
      <c r="M7" s="93">
        <f>Ref_table!M307</f>
        <v>0</v>
      </c>
      <c r="N7" s="93">
        <f>Ref_table!N307</f>
        <v>0</v>
      </c>
      <c r="O7" s="93">
        <f>Ref_table!O307</f>
        <v>0</v>
      </c>
      <c r="P7" s="870">
        <f>Ref_table!P307</f>
        <v>0</v>
      </c>
      <c r="Q7" s="870">
        <f>Ref_table!Q307</f>
        <v>0</v>
      </c>
    </row>
    <row r="8" spans="1:17" ht="15.75">
      <c r="A8" s="413" t="str">
        <f>Ref_table!A308</f>
        <v>A3</v>
      </c>
      <c r="B8" s="574" t="str">
        <f>Ref_table!B308</f>
        <v>Total EU27 2006, km^2</v>
      </c>
      <c r="C8" s="410">
        <f>Ref_table!C308</f>
        <v>359019.49</v>
      </c>
      <c r="D8" s="410">
        <f>Ref_table!D308</f>
        <v>751196.3600000001</v>
      </c>
      <c r="E8" s="410">
        <f>Ref_table!E308</f>
        <v>591388.6699999999</v>
      </c>
      <c r="F8" s="410">
        <f>Ref_table!F308</f>
        <v>663727.37</v>
      </c>
      <c r="G8" s="410">
        <f>Ref_table!G308</f>
        <v>445154.12</v>
      </c>
      <c r="H8" s="410">
        <f>Ref_table!H308</f>
        <v>1514267.2100000002</v>
      </c>
      <c r="I8" s="410">
        <f>Ref_table!I308</f>
        <v>4324753.220000001</v>
      </c>
      <c r="J8" s="494">
        <f>Ref_table!J308</f>
        <v>0</v>
      </c>
      <c r="K8" s="706">
        <f>Ref_table!K308</f>
        <v>0</v>
      </c>
      <c r="L8" s="705">
        <f>Ref_table!L308</f>
        <v>0</v>
      </c>
      <c r="M8" s="636">
        <f>Ref_table!M308</f>
        <v>0</v>
      </c>
      <c r="N8" s="637">
        <f>Ref_table!N308</f>
        <v>0</v>
      </c>
      <c r="O8" s="861">
        <f>Ref_table!O308</f>
        <v>0</v>
      </c>
      <c r="P8" s="638">
        <f>Ref_table!P308</f>
        <v>0</v>
      </c>
      <c r="Q8" s="953">
        <f>Ref_table!Q308</f>
        <v>0</v>
      </c>
    </row>
    <row r="9" spans="1:17" ht="15.75">
      <c r="A9" s="794" t="str">
        <f>Ref_table!A309</f>
        <v>a31</v>
      </c>
      <c r="B9" s="795" t="str">
        <f>Ref_table!B309</f>
        <v>1 - Artificial surfaces, urban land cover EU27, 2006 (~2005), km^2</v>
      </c>
      <c r="C9" s="796">
        <f>Ref_table!C309</f>
        <v>111917.88</v>
      </c>
      <c r="D9" s="796">
        <f>Ref_table!D309</f>
        <v>21355.79</v>
      </c>
      <c r="E9" s="796">
        <f>Ref_table!E309</f>
        <v>12058.07</v>
      </c>
      <c r="F9" s="796">
        <f>Ref_table!F309</f>
        <v>5273.26</v>
      </c>
      <c r="G9" s="796">
        <f>Ref_table!G309</f>
        <v>2995.82</v>
      </c>
      <c r="H9" s="796">
        <f>Ref_table!H309</f>
        <v>36328.42</v>
      </c>
      <c r="I9" s="798">
        <f>Ref_table!I309</f>
        <v>189929.24000000005</v>
      </c>
      <c r="J9" s="797">
        <f>Ref_table!J309</f>
        <v>0</v>
      </c>
      <c r="K9" s="799">
        <f>Ref_table!K309</f>
        <v>0</v>
      </c>
      <c r="L9" s="824">
        <f>Ref_table!L309</f>
        <v>0</v>
      </c>
      <c r="M9" s="825">
        <f>Ref_table!M309</f>
        <v>0</v>
      </c>
      <c r="N9" s="800">
        <f>Ref_table!N309</f>
        <v>0</v>
      </c>
      <c r="O9" s="798">
        <f>Ref_table!O309</f>
        <v>0</v>
      </c>
      <c r="P9" s="801">
        <f>Ref_table!P309</f>
        <v>0</v>
      </c>
      <c r="Q9" s="954">
        <f>Ref_table!Q309</f>
        <v>0</v>
      </c>
    </row>
    <row r="10" spans="1:17" ht="15">
      <c r="A10" s="113" t="str">
        <f>Ref_table!A310</f>
        <v>a231</v>
      </c>
      <c r="B10" s="109" t="str">
        <f>Ref_table!B310</f>
        <v>Mean "1 - Artificial" per km^2, ~2005, %</v>
      </c>
      <c r="C10" s="783">
        <f>Ref_table!C310</f>
        <v>31.17320455220969</v>
      </c>
      <c r="D10" s="783">
        <f>Ref_table!D310</f>
        <v>2.8429038181175423</v>
      </c>
      <c r="E10" s="783">
        <f>Ref_table!E310</f>
        <v>2.038941665892923</v>
      </c>
      <c r="F10" s="783">
        <f>Ref_table!F310</f>
        <v>0.7944918709620187</v>
      </c>
      <c r="G10" s="783">
        <f>Ref_table!G310</f>
        <v>0.672984897904573</v>
      </c>
      <c r="H10" s="783">
        <f>Ref_table!H310</f>
        <v>2.3990759200286713</v>
      </c>
      <c r="I10" s="783">
        <f>Ref_table!I310</f>
        <v>4.391678099033822</v>
      </c>
      <c r="J10" s="64">
        <f>Ref_table!J310</f>
        <v>0</v>
      </c>
      <c r="K10" s="786">
        <f>Ref_table!K310</f>
        <v>0</v>
      </c>
      <c r="L10" s="119">
        <f>Ref_table!L310</f>
        <v>0</v>
      </c>
      <c r="M10" s="64">
        <f>Ref_table!M310</f>
        <v>0</v>
      </c>
      <c r="N10" s="64">
        <f>Ref_table!N310</f>
        <v>0</v>
      </c>
      <c r="O10" s="862">
        <f>Ref_table!O310</f>
        <v>0</v>
      </c>
      <c r="P10" s="754">
        <f>Ref_table!P310</f>
        <v>0</v>
      </c>
      <c r="Q10" s="754">
        <f>Ref_table!Q310</f>
        <v>0</v>
      </c>
    </row>
    <row r="11" spans="1:17" ht="15.75">
      <c r="A11" s="413" t="str">
        <f>Ref_table!A311</f>
        <v>G1</v>
      </c>
      <c r="B11" s="574" t="str">
        <f>Ref_table!B311</f>
        <v>Population 2000 (source: Eurostat+Pop_to_CLC_v5)</v>
      </c>
      <c r="C11" s="433">
        <f>Ref_table!C311</f>
        <v>126224000</v>
      </c>
      <c r="D11" s="410">
        <f>Ref_table!D311</f>
        <v>100447000</v>
      </c>
      <c r="E11" s="410">
        <f>Ref_table!E311</f>
        <v>37022300</v>
      </c>
      <c r="F11" s="410">
        <f>Ref_table!F311</f>
        <v>28487400</v>
      </c>
      <c r="G11" s="410">
        <f>Ref_table!G311</f>
        <v>4263415</v>
      </c>
      <c r="H11" s="410">
        <f>Ref_table!H311</f>
        <v>188388000</v>
      </c>
      <c r="I11" s="410">
        <f>Ref_table!I311</f>
        <v>484832115</v>
      </c>
      <c r="J11" s="494">
        <f>Ref_table!J311</f>
        <v>0</v>
      </c>
      <c r="K11" s="706">
        <f>Ref_table!K311</f>
        <v>0</v>
      </c>
      <c r="L11" s="705">
        <f>Ref_table!L311</f>
        <v>0</v>
      </c>
      <c r="M11" s="636">
        <f>Ref_table!M311</f>
        <v>0</v>
      </c>
      <c r="N11" s="637">
        <f>Ref_table!N311</f>
        <v>0</v>
      </c>
      <c r="O11" s="861">
        <f>Ref_table!O311</f>
        <v>0</v>
      </c>
      <c r="P11" s="638">
        <f>Ref_table!P311</f>
        <v>0</v>
      </c>
      <c r="Q11" s="638">
        <f>Ref_table!Q311</f>
        <v>0</v>
      </c>
    </row>
    <row r="12" spans="1:17" ht="15.75">
      <c r="A12" s="794" t="str">
        <f>Ref_table!A312</f>
        <v>g11</v>
      </c>
      <c r="B12" s="795" t="str">
        <f>Ref_table!B312</f>
        <v>Population 1995 - estimated at 0.98 of 2000</v>
      </c>
      <c r="C12" s="796">
        <f>Ref_table!C312</f>
        <v>123699520</v>
      </c>
      <c r="D12" s="797">
        <f>Ref_table!D312</f>
        <v>98438060</v>
      </c>
      <c r="E12" s="797">
        <f>Ref_table!E312</f>
        <v>36281854</v>
      </c>
      <c r="F12" s="797">
        <f>Ref_table!F312</f>
        <v>27917652</v>
      </c>
      <c r="G12" s="797">
        <f>Ref_table!G312</f>
        <v>4178146.6999999997</v>
      </c>
      <c r="H12" s="797">
        <f>Ref_table!H312</f>
        <v>184620240</v>
      </c>
      <c r="I12" s="798">
        <f>Ref_table!I312</f>
        <v>475135472.7</v>
      </c>
      <c r="J12" s="797">
        <f>Ref_table!J312</f>
        <v>0</v>
      </c>
      <c r="K12" s="799">
        <f>Ref_table!K312</f>
        <v>0</v>
      </c>
      <c r="L12" s="796">
        <f>Ref_table!L312</f>
        <v>0</v>
      </c>
      <c r="M12" s="797">
        <f>Ref_table!M312</f>
        <v>0</v>
      </c>
      <c r="N12" s="800">
        <f>Ref_table!N312</f>
        <v>0</v>
      </c>
      <c r="O12" s="798">
        <f>Ref_table!O312</f>
        <v>0</v>
      </c>
      <c r="P12" s="801">
        <f>Ref_table!P312</f>
        <v>0</v>
      </c>
      <c r="Q12" s="954">
        <f>Ref_table!Q312</f>
        <v>0</v>
      </c>
    </row>
    <row r="13" spans="1:17" ht="15.75">
      <c r="A13" s="794" t="str">
        <f>Ref_table!A313</f>
        <v>g12</v>
      </c>
      <c r="B13" s="795" t="str">
        <f>Ref_table!B313</f>
        <v>Population 2005 - estimated at 1.02 of 2000 </v>
      </c>
      <c r="C13" s="796">
        <f>Ref_table!C313</f>
        <v>128748480</v>
      </c>
      <c r="D13" s="797">
        <f>Ref_table!D313</f>
        <v>102455940</v>
      </c>
      <c r="E13" s="797">
        <f>Ref_table!E313</f>
        <v>37762746</v>
      </c>
      <c r="F13" s="797">
        <f>Ref_table!F313</f>
        <v>29057148</v>
      </c>
      <c r="G13" s="797">
        <f>Ref_table!G313</f>
        <v>4348683.3</v>
      </c>
      <c r="H13" s="797">
        <f>Ref_table!H313</f>
        <v>192155760</v>
      </c>
      <c r="I13" s="798">
        <f>Ref_table!I313</f>
        <v>494528757.3</v>
      </c>
      <c r="J13" s="797">
        <f>Ref_table!J313</f>
        <v>0</v>
      </c>
      <c r="K13" s="799">
        <f>Ref_table!K313</f>
        <v>0</v>
      </c>
      <c r="L13" s="796">
        <f>Ref_table!L313</f>
        <v>0</v>
      </c>
      <c r="M13" s="797">
        <f>Ref_table!M313</f>
        <v>0</v>
      </c>
      <c r="N13" s="800">
        <f>Ref_table!N313</f>
        <v>0</v>
      </c>
      <c r="O13" s="798">
        <f>Ref_table!O313</f>
        <v>0</v>
      </c>
      <c r="P13" s="801">
        <f>Ref_table!P313</f>
        <v>0</v>
      </c>
      <c r="Q13" s="954">
        <f>Ref_table!Q313</f>
        <v>0</v>
      </c>
    </row>
    <row r="14" spans="1:17" ht="18.75">
      <c r="A14" s="788" t="str">
        <f>Ref_table!A314</f>
        <v>G2</v>
      </c>
      <c r="B14" s="1056" t="str">
        <f>Ref_table!B314</f>
        <v>Net Accessible Ecosystem Carbon</v>
      </c>
      <c r="C14" s="1057">
        <f>Ref_table!C314</f>
        <v>0</v>
      </c>
      <c r="D14" s="1057">
        <f>Ref_table!D314</f>
        <v>0</v>
      </c>
      <c r="E14" s="1057">
        <f>Ref_table!E314</f>
        <v>0</v>
      </c>
      <c r="F14" s="1057">
        <f>Ref_table!F314</f>
        <v>0</v>
      </c>
      <c r="G14" s="1057">
        <f>Ref_table!G314</f>
        <v>0</v>
      </c>
      <c r="H14" s="1057">
        <f>Ref_table!H314</f>
        <v>0</v>
      </c>
      <c r="I14" s="1058">
        <f>Ref_table!I314</f>
        <v>0</v>
      </c>
      <c r="J14" s="789">
        <f>Ref_table!J314</f>
        <v>0</v>
      </c>
      <c r="K14" s="790">
        <f>Ref_table!K314</f>
        <v>0</v>
      </c>
      <c r="L14" s="791">
        <f>Ref_table!L314</f>
        <v>0</v>
      </c>
      <c r="M14" s="789">
        <f>Ref_table!M314</f>
        <v>0</v>
      </c>
      <c r="N14" s="789">
        <f>Ref_table!N314</f>
        <v>0</v>
      </c>
      <c r="O14" s="863">
        <f>Ref_table!O314</f>
        <v>0</v>
      </c>
      <c r="P14" s="792">
        <f>Ref_table!P314</f>
        <v>0</v>
      </c>
      <c r="Q14" s="792">
        <f>Ref_table!Q314</f>
        <v>0</v>
      </c>
    </row>
    <row r="15" spans="1:17" ht="15.75">
      <c r="A15" s="794" t="str">
        <f>Ref_table!A315</f>
        <v>g21</v>
      </c>
      <c r="B15" s="795" t="str">
        <f>Ref_table!B315</f>
        <v>Net Accessible Ecosystem Carbon per capita 1995 (tons) [g21 = B7/g11]</v>
      </c>
      <c r="C15" s="808">
        <f>Ref_table!C315</f>
        <v>0.5349454872581558</v>
      </c>
      <c r="D15" s="809">
        <f>Ref_table!D315</f>
        <v>2.5455601217659103</v>
      </c>
      <c r="E15" s="809">
        <f>Ref_table!E315</f>
        <v>7.520288241058463</v>
      </c>
      <c r="F15" s="809">
        <f>Ref_table!F315</f>
        <v>12.55298977148938</v>
      </c>
      <c r="G15" s="809">
        <f>Ref_table!G315</f>
        <v>19.819792349560153</v>
      </c>
      <c r="H15" s="809">
        <f>Ref_table!H315</f>
        <v>1.3535894005987643</v>
      </c>
      <c r="I15" s="810">
        <f>Ref_table!I315</f>
        <v>2.678736009263659</v>
      </c>
      <c r="J15" s="797">
        <f>Ref_table!J315</f>
        <v>0</v>
      </c>
      <c r="K15" s="799">
        <f>Ref_table!K315</f>
        <v>0</v>
      </c>
      <c r="L15" s="824">
        <f>Ref_table!L315</f>
        <v>0.025321620235238654</v>
      </c>
      <c r="M15" s="825">
        <f>Ref_table!M315</f>
        <v>0.0050643240470477306</v>
      </c>
      <c r="N15" s="800">
        <f>Ref_table!N315</f>
        <v>0</v>
      </c>
      <c r="O15" s="798">
        <f>Ref_table!O315</f>
        <v>0</v>
      </c>
      <c r="P15" s="801">
        <f>Ref_table!P315</f>
        <v>0</v>
      </c>
      <c r="Q15" s="954">
        <f>Ref_table!Q315</f>
        <v>0</v>
      </c>
    </row>
    <row r="16" spans="1:17" ht="15.75">
      <c r="A16" s="794" t="str">
        <f>Ref_table!A316</f>
        <v>g22</v>
      </c>
      <c r="B16" s="795" t="str">
        <f>Ref_table!B316</f>
        <v>Net Accessible Ecosystem Carbon per capita 2005 (tons) [g22 =B8/g11]</v>
      </c>
      <c r="C16" s="808">
        <f>Ref_table!C316</f>
        <v>0.4535004995787134</v>
      </c>
      <c r="D16" s="809">
        <f>Ref_table!D316</f>
        <v>2.3345644966997523</v>
      </c>
      <c r="E16" s="809">
        <f>Ref_table!E316</f>
        <v>6.800352919250099</v>
      </c>
      <c r="F16" s="809">
        <f>Ref_table!F316</f>
        <v>12.761920061803725</v>
      </c>
      <c r="G16" s="809">
        <f>Ref_table!G316</f>
        <v>18.624028105242797</v>
      </c>
      <c r="H16" s="809">
        <f>Ref_table!H316</f>
        <v>1.0863062340676126</v>
      </c>
      <c r="I16" s="810">
        <f>Ref_table!I316</f>
        <v>2.4567479283373115</v>
      </c>
      <c r="J16" s="797">
        <f>Ref_table!J316</f>
        <v>0</v>
      </c>
      <c r="K16" s="799">
        <f>Ref_table!K316</f>
        <v>0</v>
      </c>
      <c r="L16" s="824">
        <f>Ref_table!L316</f>
        <v>0.010089605359336295</v>
      </c>
      <c r="M16" s="825">
        <f>Ref_table!M316</f>
        <v>0.0020179210718672598</v>
      </c>
      <c r="N16" s="800">
        <f>Ref_table!N316</f>
        <v>0</v>
      </c>
      <c r="O16" s="798">
        <f>Ref_table!O316</f>
        <v>0</v>
      </c>
      <c r="P16" s="801">
        <f>Ref_table!P316</f>
        <v>0</v>
      </c>
      <c r="Q16" s="954">
        <f>Ref_table!Q316</f>
        <v>0</v>
      </c>
    </row>
    <row r="17" spans="1:17" ht="18.75">
      <c r="A17" s="788" t="str">
        <f>Ref_table!A317</f>
        <v>G3</v>
      </c>
      <c r="B17" s="1056" t="str">
        <f>Ref_table!B317</f>
        <v>Net Accessible Ecosystem Fresh Water</v>
      </c>
      <c r="C17" s="1057">
        <f>Ref_table!C317</f>
        <v>0</v>
      </c>
      <c r="D17" s="1057">
        <f>Ref_table!D317</f>
        <v>0</v>
      </c>
      <c r="E17" s="1057">
        <f>Ref_table!E317</f>
        <v>0</v>
      </c>
      <c r="F17" s="1057">
        <f>Ref_table!F317</f>
        <v>0</v>
      </c>
      <c r="G17" s="1057">
        <f>Ref_table!G317</f>
        <v>0</v>
      </c>
      <c r="H17" s="1057">
        <f>Ref_table!H317</f>
        <v>0</v>
      </c>
      <c r="I17" s="1058">
        <f>Ref_table!I317</f>
        <v>0</v>
      </c>
      <c r="J17" s="789">
        <f>Ref_table!J317</f>
        <v>0</v>
      </c>
      <c r="K17" s="790">
        <f>Ref_table!K317</f>
        <v>0</v>
      </c>
      <c r="L17" s="791">
        <f>Ref_table!L317</f>
        <v>0</v>
      </c>
      <c r="M17" s="789">
        <f>Ref_table!M317</f>
        <v>0</v>
      </c>
      <c r="N17" s="789">
        <f>Ref_table!N317</f>
        <v>0</v>
      </c>
      <c r="O17" s="863">
        <f>Ref_table!O317</f>
        <v>0</v>
      </c>
      <c r="P17" s="792">
        <f>Ref_table!P317</f>
        <v>0</v>
      </c>
      <c r="Q17" s="792">
        <f>Ref_table!Q317</f>
        <v>0</v>
      </c>
    </row>
    <row r="18" spans="1:17" ht="15.75">
      <c r="A18" s="794" t="str">
        <f>Ref_table!A318</f>
        <v>g31</v>
      </c>
      <c r="B18" s="795" t="str">
        <f>Ref_table!B318</f>
        <v>Net Ecosystem Accessible Fresh Water per capita 1995 (m3) [g31 = C9/g11]</v>
      </c>
      <c r="C18" s="805">
        <f>Ref_table!C318</f>
        <v>104.52217915037906</v>
      </c>
      <c r="D18" s="806">
        <f>Ref_table!D318</f>
        <v>749.9233741428758</v>
      </c>
      <c r="E18" s="806">
        <f>Ref_table!E318</f>
        <v>1938.6637942669731</v>
      </c>
      <c r="F18" s="806">
        <f>Ref_table!F318</f>
        <v>1821.0849759407142</v>
      </c>
      <c r="G18" s="806">
        <f>Ref_table!G318</f>
        <v>4141.974368971501</v>
      </c>
      <c r="H18" s="806">
        <f>Ref_table!H318</f>
        <v>972.1098749954847</v>
      </c>
      <c r="I18" s="807">
        <f>Ref_table!I318</f>
        <v>851.7697311009368</v>
      </c>
      <c r="J18" s="797">
        <f>Ref_table!J318</f>
        <v>0</v>
      </c>
      <c r="K18" s="799">
        <f>Ref_table!K318</f>
        <v>0</v>
      </c>
      <c r="L18" s="796">
        <f>Ref_table!L318</f>
        <v>0</v>
      </c>
      <c r="M18" s="797">
        <f>Ref_table!M318</f>
        <v>0</v>
      </c>
      <c r="N18" s="800">
        <f>Ref_table!N318</f>
        <v>0</v>
      </c>
      <c r="O18" s="798">
        <f>Ref_table!O318</f>
        <v>0</v>
      </c>
      <c r="P18" s="801">
        <f>Ref_table!P318</f>
        <v>0</v>
      </c>
      <c r="Q18" s="954">
        <f>Ref_table!Q318</f>
        <v>0</v>
      </c>
    </row>
    <row r="19" spans="1:17" ht="15.75">
      <c r="A19" s="794" t="str">
        <f>Ref_table!A319</f>
        <v>g32</v>
      </c>
      <c r="B19" s="795" t="str">
        <f>Ref_table!B319</f>
        <v>Net Ecosystem Accessible Fresh Water per capita 2005 (m3) [g32 = C10/g12]</v>
      </c>
      <c r="C19" s="805">
        <f>Ref_table!C319</f>
        <v>97.26968615634576</v>
      </c>
      <c r="D19" s="806">
        <f>Ref_table!D319</f>
        <v>704.5366384398033</v>
      </c>
      <c r="E19" s="806">
        <f>Ref_table!E319</f>
        <v>1595.7727246256834</v>
      </c>
      <c r="F19" s="806">
        <f>Ref_table!F319</f>
        <v>1582.1427711666965</v>
      </c>
      <c r="G19" s="806">
        <f>Ref_table!G319</f>
        <v>3418.9195820666814</v>
      </c>
      <c r="H19" s="806">
        <f>Ref_table!H319</f>
        <v>800.0219334957994</v>
      </c>
      <c r="I19" s="807">
        <f>Ref_table!I319</f>
        <v>727.0299661283548</v>
      </c>
      <c r="J19" s="797">
        <f>Ref_table!J319</f>
        <v>0</v>
      </c>
      <c r="K19" s="799">
        <f>Ref_table!K319</f>
        <v>0</v>
      </c>
      <c r="L19" s="796">
        <f>Ref_table!L319</f>
        <v>0</v>
      </c>
      <c r="M19" s="797">
        <f>Ref_table!M319</f>
        <v>0</v>
      </c>
      <c r="N19" s="800">
        <f>Ref_table!N319</f>
        <v>0</v>
      </c>
      <c r="O19" s="798">
        <f>Ref_table!O319</f>
        <v>0</v>
      </c>
      <c r="P19" s="801">
        <f>Ref_table!P319</f>
        <v>0</v>
      </c>
      <c r="Q19" s="954">
        <f>Ref_table!Q319</f>
        <v>0</v>
      </c>
    </row>
    <row r="20" spans="1:17" ht="18.75">
      <c r="A20" s="788" t="str">
        <f>Ref_table!A320</f>
        <v>G4</v>
      </c>
      <c r="B20" s="1056" t="str">
        <f>Ref_table!B320</f>
        <v>Accessible landscape services/ Green Infrastructure Neighbourhood Ecosystem Services (GINES) </v>
      </c>
      <c r="C20" s="1057">
        <f>Ref_table!C320</f>
        <v>0</v>
      </c>
      <c r="D20" s="1057">
        <f>Ref_table!D320</f>
        <v>0</v>
      </c>
      <c r="E20" s="1057">
        <f>Ref_table!E320</f>
        <v>0</v>
      </c>
      <c r="F20" s="1057">
        <f>Ref_table!F320</f>
        <v>0</v>
      </c>
      <c r="G20" s="1057">
        <f>Ref_table!G320</f>
        <v>0</v>
      </c>
      <c r="H20" s="1057">
        <f>Ref_table!H320</f>
        <v>0</v>
      </c>
      <c r="I20" s="1058">
        <f>Ref_table!I320</f>
        <v>0</v>
      </c>
      <c r="J20" s="789">
        <f>Ref_table!J320</f>
        <v>0</v>
      </c>
      <c r="K20" s="790">
        <f>Ref_table!K320</f>
        <v>0</v>
      </c>
      <c r="L20" s="791">
        <f>Ref_table!L320</f>
        <v>0</v>
      </c>
      <c r="M20" s="789">
        <f>Ref_table!M320</f>
        <v>0</v>
      </c>
      <c r="N20" s="789">
        <f>Ref_table!N320</f>
        <v>0</v>
      </c>
      <c r="O20" s="863">
        <f>Ref_table!O320</f>
        <v>0</v>
      </c>
      <c r="P20" s="792">
        <f>Ref_table!P320</f>
        <v>0</v>
      </c>
      <c r="Q20" s="792">
        <f>Ref_table!Q320</f>
        <v>0</v>
      </c>
    </row>
    <row r="21" spans="1:17" ht="15.75">
      <c r="A21" s="787" t="str">
        <f>Ref_table!A321</f>
        <v>G41= D14</v>
      </c>
      <c r="B21" s="773" t="str">
        <f>Ref_table!B321</f>
        <v>GALI = Green Accessible Landscape Infrastructure Index (SQRT GBLI*GEI), t1 (~1995)</v>
      </c>
      <c r="C21" s="774">
        <f>Ref_table!C321</f>
        <v>6759.610402437262</v>
      </c>
      <c r="D21" s="775">
        <f>Ref_table!D321</f>
        <v>11165.848734519788</v>
      </c>
      <c r="E21" s="775">
        <f>Ref_table!E321</f>
        <v>18859.629383875133</v>
      </c>
      <c r="F21" s="775">
        <f>Ref_table!F321</f>
        <v>23653.37023567165</v>
      </c>
      <c r="G21" s="775">
        <f>Ref_table!G321</f>
        <v>31827.617571369294</v>
      </c>
      <c r="H21" s="775">
        <f>Ref_table!H321</f>
        <v>31354.68577200648</v>
      </c>
      <c r="I21" s="776">
        <f>Ref_table!I321</f>
        <v>123620.76209987962</v>
      </c>
      <c r="J21" s="777">
        <f>Ref_table!J321</f>
        <v>0</v>
      </c>
      <c r="K21" s="778">
        <f>Ref_table!K321</f>
        <v>0</v>
      </c>
      <c r="L21" s="779">
        <f>Ref_table!L321</f>
        <v>0</v>
      </c>
      <c r="M21" s="777">
        <f>Ref_table!M321</f>
        <v>0</v>
      </c>
      <c r="N21" s="777">
        <f>Ref_table!N321</f>
        <v>0</v>
      </c>
      <c r="O21" s="864">
        <f>Ref_table!O321</f>
        <v>0</v>
      </c>
      <c r="P21" s="780">
        <f>Ref_table!P321</f>
        <v>0</v>
      </c>
      <c r="Q21" s="780">
        <f>Ref_table!Q321</f>
        <v>0</v>
      </c>
    </row>
    <row r="22" spans="1:17" ht="15">
      <c r="A22" s="113" t="str">
        <f>Ref_table!A322</f>
        <v>g411= d141</v>
      </c>
      <c r="B22" s="109" t="str">
        <f>Ref_table!B322</f>
        <v>Mean GAI per km^2, t1 (~1995)</v>
      </c>
      <c r="C22" s="783">
        <f>Ref_table!C322</f>
        <v>19.246628734302522</v>
      </c>
      <c r="D22" s="784">
        <f>Ref_table!D322</f>
        <v>14.773451991260059</v>
      </c>
      <c r="E22" s="784">
        <f>Ref_table!E322</f>
        <v>31.906430412120642</v>
      </c>
      <c r="F22" s="784">
        <f>Ref_table!F322</f>
        <v>34.7455286241968</v>
      </c>
      <c r="G22" s="784">
        <f>Ref_table!G322</f>
        <v>73.50638605688327</v>
      </c>
      <c r="H22" s="784">
        <f>Ref_table!H322</f>
        <v>20.72496007075923</v>
      </c>
      <c r="I22" s="785">
        <f>Ref_table!I322</f>
        <v>28.58446715892605</v>
      </c>
      <c r="J22" s="64">
        <f>Ref_table!J322</f>
        <v>0</v>
      </c>
      <c r="K22" s="786">
        <f>Ref_table!K322</f>
        <v>0</v>
      </c>
      <c r="L22" s="119">
        <f>Ref_table!L322</f>
        <v>0</v>
      </c>
      <c r="M22" s="64">
        <f>Ref_table!M322</f>
        <v>0</v>
      </c>
      <c r="N22" s="64">
        <f>Ref_table!N322</f>
        <v>0</v>
      </c>
      <c r="O22" s="862">
        <f>Ref_table!O322</f>
        <v>0</v>
      </c>
      <c r="P22" s="754">
        <f>Ref_table!P322</f>
        <v>0</v>
      </c>
      <c r="Q22" s="754">
        <f>Ref_table!Q322</f>
        <v>0</v>
      </c>
    </row>
    <row r="23" spans="1:17" ht="15.75">
      <c r="A23" s="787" t="str">
        <f>Ref_table!A323</f>
        <v>G42= D15</v>
      </c>
      <c r="B23" s="773" t="str">
        <f>Ref_table!B323</f>
        <v>GALI = Green Accessible Landscape Infrastructure Index (SQRT GBLI*GEI), t1 (~2005)</v>
      </c>
      <c r="C23" s="774">
        <f>Ref_table!C323</f>
        <v>6565.51401893041</v>
      </c>
      <c r="D23" s="775">
        <f>Ref_table!D323</f>
        <v>10896.752594550147</v>
      </c>
      <c r="E23" s="775">
        <f>Ref_table!E323</f>
        <v>18318.09138985556</v>
      </c>
      <c r="F23" s="775">
        <f>Ref_table!F323</f>
        <v>23306.358220467126</v>
      </c>
      <c r="G23" s="775">
        <f>Ref_table!G323</f>
        <v>31987.959228834705</v>
      </c>
      <c r="H23" s="775">
        <f>Ref_table!H323</f>
        <v>30745.798960390595</v>
      </c>
      <c r="I23" s="776">
        <f>Ref_table!I323</f>
        <v>121820.47441302854</v>
      </c>
      <c r="J23" s="777">
        <f>Ref_table!J323</f>
        <v>0</v>
      </c>
      <c r="K23" s="778">
        <f>Ref_table!K323</f>
        <v>0</v>
      </c>
      <c r="L23" s="779">
        <f>Ref_table!L323</f>
        <v>0</v>
      </c>
      <c r="M23" s="777">
        <f>Ref_table!M323</f>
        <v>0</v>
      </c>
      <c r="N23" s="777">
        <f>Ref_table!N323</f>
        <v>0</v>
      </c>
      <c r="O23" s="864">
        <f>Ref_table!O323</f>
        <v>0</v>
      </c>
      <c r="P23" s="780">
        <f>Ref_table!P323</f>
        <v>0</v>
      </c>
      <c r="Q23" s="780">
        <f>Ref_table!Q323</f>
        <v>0</v>
      </c>
    </row>
    <row r="24" spans="1:17" ht="15">
      <c r="A24" s="113" t="str">
        <f>Ref_table!A324</f>
        <v>g421= d151</v>
      </c>
      <c r="B24" s="109" t="str">
        <f>Ref_table!B324</f>
        <v>Mean GAI per km^2, t1 (~2005)</v>
      </c>
      <c r="C24" s="783">
        <f>Ref_table!C324</f>
        <v>18.693978387667126</v>
      </c>
      <c r="D24" s="784">
        <f>Ref_table!D324</f>
        <v>14.417412875972342</v>
      </c>
      <c r="E24" s="784">
        <f>Ref_table!E324</f>
        <v>30.99026477757864</v>
      </c>
      <c r="F24" s="784">
        <f>Ref_table!F324</f>
        <v>34.235786638716625</v>
      </c>
      <c r="G24" s="784">
        <f>Ref_table!G324</f>
        <v>73.87669765021018</v>
      </c>
      <c r="H24" s="784">
        <f>Ref_table!H324</f>
        <v>20.322495349852428</v>
      </c>
      <c r="I24" s="785">
        <f>Ref_table!I324</f>
        <v>28.16819190396656</v>
      </c>
      <c r="J24" s="64">
        <f>Ref_table!J324</f>
        <v>0</v>
      </c>
      <c r="K24" s="786">
        <f>Ref_table!K324</f>
        <v>0</v>
      </c>
      <c r="L24" s="119">
        <f>Ref_table!L324</f>
        <v>0</v>
      </c>
      <c r="M24" s="64">
        <f>Ref_table!M324</f>
        <v>0</v>
      </c>
      <c r="N24" s="64">
        <f>Ref_table!N324</f>
        <v>0</v>
      </c>
      <c r="O24" s="862">
        <f>Ref_table!O324</f>
        <v>0</v>
      </c>
      <c r="P24" s="754">
        <f>Ref_table!P324</f>
        <v>0</v>
      </c>
      <c r="Q24" s="754">
        <f>Ref_table!Q324</f>
        <v>0</v>
      </c>
    </row>
    <row r="25" spans="1:17" ht="15.75">
      <c r="A25" s="615" t="str">
        <f>Ref_table!A325</f>
        <v>G43</v>
      </c>
      <c r="B25" s="574" t="str">
        <f>Ref_table!B325</f>
        <v>Demand of GINES_5km (= SQRT GAI * a11 Artificial) ~1995</v>
      </c>
      <c r="C25" s="489">
        <f>Ref_table!C325</f>
        <v>26259.427324210643</v>
      </c>
      <c r="D25" s="489">
        <f>Ref_table!D325</f>
        <v>15035.209363483978</v>
      </c>
      <c r="E25" s="489">
        <f>Ref_table!E325</f>
        <v>14683.737505903287</v>
      </c>
      <c r="F25" s="489">
        <f>Ref_table!F325</f>
        <v>11241.126578000265</v>
      </c>
      <c r="G25" s="489">
        <f>Ref_table!G325</f>
        <v>9628.68745220078</v>
      </c>
      <c r="H25" s="489">
        <f>Ref_table!H325</f>
        <v>32911.82261040263</v>
      </c>
      <c r="I25" s="298">
        <f>Ref_table!I325</f>
        <v>109760.01083420159</v>
      </c>
      <c r="J25" s="139">
        <f>Ref_table!J325</f>
        <v>0</v>
      </c>
      <c r="K25" s="707">
        <f>Ref_table!K325</f>
        <v>0</v>
      </c>
      <c r="L25" s="547">
        <f>Ref_table!L325</f>
        <v>0</v>
      </c>
      <c r="M25" s="139">
        <f>Ref_table!M325</f>
        <v>0</v>
      </c>
      <c r="N25" s="139">
        <f>Ref_table!N325</f>
        <v>0</v>
      </c>
      <c r="O25" s="865">
        <f>Ref_table!O325</f>
        <v>0</v>
      </c>
      <c r="P25" s="666">
        <f>Ref_table!P325</f>
        <v>0</v>
      </c>
      <c r="Q25" s="666">
        <f>Ref_table!Q325</f>
        <v>0</v>
      </c>
    </row>
    <row r="26" spans="1:17" ht="15.75">
      <c r="A26" s="811" t="str">
        <f>Ref_table!A326</f>
        <v>g431</v>
      </c>
      <c r="B26" s="812" t="str">
        <f>Ref_table!B326</f>
        <v>Mean GINES_5km demand per km^2 ALL</v>
      </c>
      <c r="C26" s="821">
        <f>Ref_table!C326</f>
        <v>7.476842871036637</v>
      </c>
      <c r="D26" s="822">
        <f>Ref_table!D326</f>
        <v>1.9892974460891002</v>
      </c>
      <c r="E26" s="822">
        <f>Ref_table!E326</f>
        <v>2.4841720872973174</v>
      </c>
      <c r="F26" s="822">
        <f>Ref_table!F326</f>
        <v>1.6512610312719647</v>
      </c>
      <c r="G26" s="822">
        <f>Ref_table!G326</f>
        <v>2.2237605924963</v>
      </c>
      <c r="H26" s="822">
        <f>Ref_table!H326</f>
        <v>2.175420332438739</v>
      </c>
      <c r="I26" s="823">
        <f>Ref_table!I326</f>
        <v>2.5379486194387875</v>
      </c>
      <c r="J26" s="814">
        <f>Ref_table!J326</f>
        <v>0</v>
      </c>
      <c r="K26" s="816">
        <f>Ref_table!K326</f>
        <v>0</v>
      </c>
      <c r="L26" s="813">
        <f>Ref_table!L326</f>
        <v>0</v>
      </c>
      <c r="M26" s="814">
        <f>Ref_table!M326</f>
        <v>0</v>
      </c>
      <c r="N26" s="817">
        <f>Ref_table!N326</f>
        <v>0</v>
      </c>
      <c r="O26" s="815">
        <f>Ref_table!O326</f>
        <v>0</v>
      </c>
      <c r="P26" s="818">
        <f>Ref_table!P326</f>
        <v>0</v>
      </c>
      <c r="Q26" s="753">
        <f>Ref_table!Q326</f>
        <v>0</v>
      </c>
    </row>
    <row r="27" spans="1:17" ht="15.75">
      <c r="A27" s="811" t="str">
        <f>Ref_table!A327</f>
        <v>g432</v>
      </c>
      <c r="B27" s="812" t="str">
        <f>Ref_table!B327</f>
        <v>Mean GINES_5km demand per km^2 C1 Artificial</v>
      </c>
      <c r="C27" s="813">
        <f>Ref_table!C327</f>
        <v>25.741652013123083</v>
      </c>
      <c r="D27" s="814">
        <f>Ref_table!D327</f>
        <v>74.26467077763674</v>
      </c>
      <c r="E27" s="814">
        <f>Ref_table!E327</f>
        <v>128.43888946048656</v>
      </c>
      <c r="F27" s="814">
        <f>Ref_table!F327</f>
        <v>210.4181468960868</v>
      </c>
      <c r="G27" s="814">
        <f>Ref_table!G327</f>
        <v>330.54990858691355</v>
      </c>
      <c r="H27" s="814">
        <f>Ref_table!H327</f>
        <v>95.26876145138199</v>
      </c>
      <c r="I27" s="815">
        <f>Ref_table!I327</f>
        <v>62.19020252507246</v>
      </c>
      <c r="J27" s="814">
        <f>Ref_table!J327</f>
        <v>0</v>
      </c>
      <c r="K27" s="816">
        <f>Ref_table!K327</f>
        <v>0</v>
      </c>
      <c r="L27" s="813">
        <f>Ref_table!L327</f>
        <v>0</v>
      </c>
      <c r="M27" s="814">
        <f>Ref_table!M327</f>
        <v>0</v>
      </c>
      <c r="N27" s="817">
        <f>Ref_table!N327</f>
        <v>0</v>
      </c>
      <c r="O27" s="815">
        <f>Ref_table!O327</f>
        <v>0</v>
      </c>
      <c r="P27" s="818">
        <f>Ref_table!P327</f>
        <v>0</v>
      </c>
      <c r="Q27" s="753">
        <f>Ref_table!Q327</f>
        <v>0</v>
      </c>
    </row>
    <row r="28" spans="1:17" ht="15.75">
      <c r="A28" s="615" t="str">
        <f>Ref_table!A328</f>
        <v>G44</v>
      </c>
      <c r="B28" s="574" t="str">
        <f>Ref_table!B328</f>
        <v>Demand of GINES_5km (= SQRT GAI * a11 Artificial) ~2005</v>
      </c>
      <c r="C28" s="489">
        <f>Ref_table!C328</f>
        <v>27107.165290914712</v>
      </c>
      <c r="D28" s="489">
        <f>Ref_table!D328</f>
        <v>15254.794659095483</v>
      </c>
      <c r="E28" s="489">
        <f>Ref_table!E328</f>
        <v>14862.060026970541</v>
      </c>
      <c r="F28" s="489">
        <f>Ref_table!F328</f>
        <v>11086.04918578573</v>
      </c>
      <c r="G28" s="489">
        <f>Ref_table!G328</f>
        <v>9789.288432614885</v>
      </c>
      <c r="H28" s="489">
        <f>Ref_table!H328</f>
        <v>33420.74651872146</v>
      </c>
      <c r="I28" s="298">
        <f>Ref_table!I328</f>
        <v>111520.10411410281</v>
      </c>
      <c r="J28" s="139">
        <f>Ref_table!J328</f>
        <v>0</v>
      </c>
      <c r="K28" s="707">
        <f>Ref_table!K328</f>
        <v>0</v>
      </c>
      <c r="L28" s="547">
        <f>Ref_table!L328</f>
        <v>0</v>
      </c>
      <c r="M28" s="139">
        <f>Ref_table!M328</f>
        <v>0</v>
      </c>
      <c r="N28" s="139">
        <f>Ref_table!N328</f>
        <v>0</v>
      </c>
      <c r="O28" s="865">
        <f>Ref_table!O328</f>
        <v>0</v>
      </c>
      <c r="P28" s="666">
        <f>Ref_table!P328</f>
        <v>0</v>
      </c>
      <c r="Q28" s="666">
        <f>Ref_table!Q328</f>
        <v>0</v>
      </c>
    </row>
    <row r="29" spans="1:17" ht="15.75">
      <c r="A29" s="811" t="str">
        <f>Ref_table!A329</f>
        <v>g441</v>
      </c>
      <c r="B29" s="812" t="str">
        <f>Ref_table!B329</f>
        <v>Mean GINES_5km demand per km^2 ALL</v>
      </c>
      <c r="C29" s="821">
        <f>Ref_table!C329</f>
        <v>7.718219177328532</v>
      </c>
      <c r="D29" s="822">
        <f>Ref_table!D329</f>
        <v>2.018350614368858</v>
      </c>
      <c r="E29" s="822">
        <f>Ref_table!E329</f>
        <v>2.5143404166612595</v>
      </c>
      <c r="F29" s="822">
        <f>Ref_table!F329</f>
        <v>1.6284809964757823</v>
      </c>
      <c r="G29" s="822">
        <f>Ref_table!G329</f>
        <v>2.2608516428740466</v>
      </c>
      <c r="H29" s="822">
        <f>Ref_table!H329</f>
        <v>2.2090594119551388</v>
      </c>
      <c r="I29" s="823">
        <f>Ref_table!I329</f>
        <v>2.5786467414219976</v>
      </c>
      <c r="J29" s="814">
        <f>Ref_table!J329</f>
        <v>0</v>
      </c>
      <c r="K29" s="816">
        <f>Ref_table!K329</f>
        <v>0</v>
      </c>
      <c r="L29" s="813">
        <f>Ref_table!L329</f>
        <v>0</v>
      </c>
      <c r="M29" s="814">
        <f>Ref_table!M329</f>
        <v>0</v>
      </c>
      <c r="N29" s="817">
        <f>Ref_table!N329</f>
        <v>0</v>
      </c>
      <c r="O29" s="815">
        <f>Ref_table!O329</f>
        <v>0</v>
      </c>
      <c r="P29" s="818">
        <f>Ref_table!P329</f>
        <v>0</v>
      </c>
      <c r="Q29" s="753">
        <f>Ref_table!Q329</f>
        <v>0</v>
      </c>
    </row>
    <row r="30" spans="1:17" ht="15.75">
      <c r="A30" s="811" t="str">
        <f>Ref_table!A330</f>
        <v>g442</v>
      </c>
      <c r="B30" s="812" t="str">
        <f>Ref_table!B330</f>
        <v>Mean GINES_5km demand per km^2 C1 Artificial</v>
      </c>
      <c r="C30" s="813">
        <f>Ref_table!C330</f>
        <v>26.57267454334746</v>
      </c>
      <c r="D30" s="814">
        <f>Ref_table!D330</f>
        <v>75.3492868472875</v>
      </c>
      <c r="E30" s="814">
        <f>Ref_table!E330</f>
        <v>129.99867943646947</v>
      </c>
      <c r="F30" s="814">
        <f>Ref_table!F330</f>
        <v>207.51531529208</v>
      </c>
      <c r="G30" s="814">
        <f>Ref_table!G330</f>
        <v>336.0632913463381</v>
      </c>
      <c r="H30" s="814">
        <f>Ref_table!H330</f>
        <v>96.74192661128434</v>
      </c>
      <c r="I30" s="815">
        <f>Ref_table!I330</f>
        <v>63.18747427011102</v>
      </c>
      <c r="J30" s="814">
        <f>Ref_table!J330</f>
        <v>0</v>
      </c>
      <c r="K30" s="816">
        <f>Ref_table!K330</f>
        <v>0</v>
      </c>
      <c r="L30" s="813">
        <f>Ref_table!L330</f>
        <v>0</v>
      </c>
      <c r="M30" s="814">
        <f>Ref_table!M330</f>
        <v>0</v>
      </c>
      <c r="N30" s="817">
        <f>Ref_table!N330</f>
        <v>0</v>
      </c>
      <c r="O30" s="815">
        <f>Ref_table!O330</f>
        <v>0</v>
      </c>
      <c r="P30" s="818">
        <f>Ref_table!P330</f>
        <v>0</v>
      </c>
      <c r="Q30" s="753">
        <f>Ref_table!Q330</f>
        <v>0</v>
      </c>
    </row>
    <row r="31" spans="1:17" ht="15.75">
      <c r="A31" s="615" t="str">
        <f>Ref_table!A331</f>
        <v>G45</v>
      </c>
      <c r="B31" s="574" t="str">
        <f>Ref_table!B331</f>
        <v>Mean accessibility of GINES_5km (GALI / a11  Artificial) t1 ~1995</v>
      </c>
      <c r="C31" s="557">
        <f>Ref_table!C331</f>
        <v>0.06626326483647237</v>
      </c>
      <c r="D31" s="557">
        <f>Ref_table!D331</f>
        <v>0.5515241325710772</v>
      </c>
      <c r="E31" s="557">
        <f>Ref_table!E331</f>
        <v>1.649654832584309</v>
      </c>
      <c r="F31" s="557">
        <f>Ref_table!F331</f>
        <v>4.427579654318316</v>
      </c>
      <c r="G31" s="557">
        <f>Ref_table!G331</f>
        <v>10.92632420668169</v>
      </c>
      <c r="H31" s="557">
        <f>Ref_table!H331</f>
        <v>0.9076136908480326</v>
      </c>
      <c r="I31" s="557">
        <f>Ref_table!I331</f>
        <v>0.7004372697182449</v>
      </c>
      <c r="J31" s="139">
        <f>Ref_table!J331</f>
        <v>0</v>
      </c>
      <c r="K31" s="707">
        <f>Ref_table!K331</f>
        <v>0</v>
      </c>
      <c r="L31" s="547">
        <f>Ref_table!L331</f>
        <v>0</v>
      </c>
      <c r="M31" s="139">
        <f>Ref_table!M331</f>
        <v>0</v>
      </c>
      <c r="N31" s="139">
        <f>Ref_table!N331</f>
        <v>0</v>
      </c>
      <c r="O31" s="865">
        <f>Ref_table!O331</f>
        <v>0</v>
      </c>
      <c r="P31" s="666">
        <f>Ref_table!P331</f>
        <v>0</v>
      </c>
      <c r="Q31" s="666">
        <f>Ref_table!Q331</f>
        <v>0</v>
      </c>
    </row>
    <row r="32" spans="1:17" ht="16.5" thickBot="1">
      <c r="A32" s="849" t="str">
        <f>Ref_table!A332</f>
        <v>G46</v>
      </c>
      <c r="B32" s="850" t="str">
        <f>Ref_table!B332</f>
        <v>Mean accessibility of GINES_5km (GALI / a31  Artificial) t1 ~2005</v>
      </c>
      <c r="C32" s="826">
        <f>Ref_table!C332</f>
        <v>0.058663673927083056</v>
      </c>
      <c r="D32" s="826">
        <f>Ref_table!D332</f>
        <v>0.5102481619528075</v>
      </c>
      <c r="E32" s="826">
        <f>Ref_table!E332</f>
        <v>1.5191561659416108</v>
      </c>
      <c r="F32" s="826">
        <f>Ref_table!F332</f>
        <v>4.419724842026967</v>
      </c>
      <c r="G32" s="826">
        <f>Ref_table!G332</f>
        <v>10.67753043535149</v>
      </c>
      <c r="H32" s="826">
        <f>Ref_table!H332</f>
        <v>0.8463290988265</v>
      </c>
      <c r="I32" s="826">
        <f>Ref_table!I332</f>
        <v>0.6413992622359175</v>
      </c>
      <c r="J32" s="827">
        <f>Ref_table!J332</f>
        <v>0</v>
      </c>
      <c r="K32" s="828">
        <f>Ref_table!K332</f>
        <v>0</v>
      </c>
      <c r="L32" s="829">
        <f>Ref_table!L332</f>
        <v>0</v>
      </c>
      <c r="M32" s="827">
        <f>Ref_table!M332</f>
        <v>0</v>
      </c>
      <c r="N32" s="827">
        <f>Ref_table!N332</f>
        <v>0</v>
      </c>
      <c r="O32" s="866">
        <f>Ref_table!O332</f>
        <v>0</v>
      </c>
      <c r="P32" s="830">
        <f>Ref_table!P332</f>
        <v>0</v>
      </c>
      <c r="Q32" s="830">
        <f>Ref_table!Q332</f>
        <v>0</v>
      </c>
    </row>
    <row r="33" spans="1:17" ht="15.75">
      <c r="A33" s="435" t="str">
        <f>Ref_table!A333</f>
        <v>G47</v>
      </c>
      <c r="B33" s="255" t="str">
        <f>Ref_table!B333</f>
        <v>Accessible GINES / landscape services (G47= (G43*G45)*g11), 10^6 points</v>
      </c>
      <c r="C33" s="851">
        <f>Ref_table!C333</f>
        <v>210.99747565972555</v>
      </c>
      <c r="D33" s="851">
        <f>Ref_table!D333</f>
        <v>4031.9006904556504</v>
      </c>
      <c r="E33" s="851">
        <f>Ref_table!E333</f>
        <v>7687.393227775914</v>
      </c>
      <c r="F33" s="851">
        <f>Ref_table!F333</f>
        <v>26009.288024200512</v>
      </c>
      <c r="G33" s="851">
        <f>Ref_table!G333</f>
        <v>15090.193499815876</v>
      </c>
      <c r="H33" s="851">
        <f>Ref_table!H333</f>
        <v>15963.601161529205</v>
      </c>
      <c r="I33" s="851">
        <f>Ref_table!I333</f>
        <v>20697.060674730816</v>
      </c>
      <c r="J33" s="852">
        <f>Ref_table!J333</f>
        <v>0</v>
      </c>
      <c r="K33" s="853">
        <f>Ref_table!K333</f>
        <v>0</v>
      </c>
      <c r="L33" s="854">
        <f>Ref_table!L333</f>
        <v>0</v>
      </c>
      <c r="M33" s="852">
        <f>Ref_table!M333</f>
        <v>0</v>
      </c>
      <c r="N33" s="852">
        <f>Ref_table!N333</f>
        <v>0</v>
      </c>
      <c r="O33" s="867">
        <f>Ref_table!O333</f>
        <v>0</v>
      </c>
      <c r="P33" s="955">
        <f>Ref_table!P333</f>
        <v>0</v>
      </c>
      <c r="Q33" s="955">
        <f>Ref_table!Q333</f>
        <v>0</v>
      </c>
    </row>
    <row r="34" spans="1:17" ht="16.5" thickBot="1">
      <c r="A34" s="700" t="str">
        <f>Ref_table!A334</f>
        <v>G48</v>
      </c>
      <c r="B34" s="855" t="str">
        <f>Ref_table!B334</f>
        <v>Accessible GINES / landscape services (G48= (G44*G46)*g12), 10^6 points</v>
      </c>
      <c r="C34" s="560">
        <f>Ref_table!C334</f>
        <v>200.69966007502344</v>
      </c>
      <c r="D34" s="560">
        <f>Ref_table!D334</f>
        <v>3939.106632068727</v>
      </c>
      <c r="E34" s="560">
        <f>Ref_table!E334</f>
        <v>7457.70033830283</v>
      </c>
      <c r="F34" s="560">
        <f>Ref_table!F334</f>
        <v>26650.07112245795</v>
      </c>
      <c r="G34" s="560">
        <f>Ref_table!G334</f>
        <v>15604.49344489132</v>
      </c>
      <c r="H34" s="560">
        <f>Ref_table!H334</f>
        <v>15732.850382050932</v>
      </c>
      <c r="I34" s="560">
        <f>Ref_table!I334</f>
        <v>20042.458980452884</v>
      </c>
      <c r="J34" s="856">
        <f>Ref_table!J334</f>
        <v>0</v>
      </c>
      <c r="K34" s="857">
        <f>Ref_table!K334</f>
        <v>0</v>
      </c>
      <c r="L34" s="551">
        <f>Ref_table!L334</f>
        <v>0</v>
      </c>
      <c r="M34" s="856">
        <f>Ref_table!M334</f>
        <v>0</v>
      </c>
      <c r="N34" s="856">
        <f>Ref_table!N334</f>
        <v>0</v>
      </c>
      <c r="O34" s="858">
        <f>Ref_table!O334</f>
        <v>0</v>
      </c>
      <c r="P34" s="869">
        <f>Ref_table!P334</f>
        <v>0</v>
      </c>
      <c r="Q34" s="859">
        <f>Ref_table!Q334</f>
        <v>0</v>
      </c>
    </row>
    <row r="35" ht="15">
      <c r="A35" s="93"/>
    </row>
    <row r="36" ht="15">
      <c r="A36" s="93"/>
    </row>
  </sheetData>
  <sheetProtection/>
  <mergeCells count="7">
    <mergeCell ref="B20:I20"/>
    <mergeCell ref="A3:B4"/>
    <mergeCell ref="C3:K3"/>
    <mergeCell ref="L3:O3"/>
    <mergeCell ref="Q3:Q4"/>
    <mergeCell ref="B14:I14"/>
    <mergeCell ref="B17:I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53"/>
  <sheetViews>
    <sheetView showZeros="0" zoomScale="60" zoomScaleNormal="60" zoomScalePageLayoutView="0" workbookViewId="0" topLeftCell="A1">
      <selection activeCell="D15" sqref="D15"/>
    </sheetView>
  </sheetViews>
  <sheetFormatPr defaultColWidth="9.140625" defaultRowHeight="15"/>
  <cols>
    <col min="1" max="1" width="15.8515625" style="0" customWidth="1"/>
    <col min="2" max="2" width="99.7109375" style="0" customWidth="1"/>
    <col min="3" max="3" width="12.421875" style="0" customWidth="1"/>
    <col min="4" max="4" width="13.7109375" style="0" customWidth="1"/>
    <col min="5" max="5" width="14.8515625" style="0" customWidth="1"/>
    <col min="6" max="6" width="11.7109375" style="0" customWidth="1"/>
    <col min="7" max="7" width="13.8515625" style="0" customWidth="1"/>
    <col min="8" max="9" width="12.57421875" style="0" customWidth="1"/>
    <col min="10" max="10" width="14.140625" style="0" customWidth="1"/>
    <col min="11" max="11" width="15.00390625" style="0" customWidth="1"/>
    <col min="12" max="12" width="12.00390625" style="0" customWidth="1"/>
    <col min="13" max="13" width="14.140625" style="0" customWidth="1"/>
  </cols>
  <sheetData>
    <row r="1" ht="15">
      <c r="A1" t="str">
        <f>'Table G - Demand'!A1</f>
        <v>SECA - Simplified Ecosystem Capital Accounts</v>
      </c>
    </row>
    <row r="2" ht="15.75" thickBot="1">
      <c r="A2" s="93" t="str">
        <f>'Table G - Demand'!A2</f>
        <v>Draft Tables and Mock-up</v>
      </c>
    </row>
    <row r="3" spans="1:13" ht="38.25" customHeight="1">
      <c r="A3" s="1068" t="str">
        <f>Ref_table!A336</f>
        <v>[H] Ecosystem Physical Balance Sheet: Assets and Liabilities </v>
      </c>
      <c r="B3" s="1086">
        <f>Ref_table!B336</f>
        <v>0</v>
      </c>
      <c r="C3" s="837" t="str">
        <f>Ref_table!C336</f>
        <v>t1 (1995)</v>
      </c>
      <c r="D3" s="423" t="str">
        <f>Ref_table!D336</f>
        <v>1996</v>
      </c>
      <c r="E3" s="423" t="str">
        <f>Ref_table!E336</f>
        <v>1997</v>
      </c>
      <c r="F3" s="423" t="str">
        <f>Ref_table!F336</f>
        <v>1998</v>
      </c>
      <c r="G3" s="423" t="str">
        <f>Ref_table!G336</f>
        <v>1999</v>
      </c>
      <c r="H3" s="423" t="str">
        <f>Ref_table!H336</f>
        <v>2000</v>
      </c>
      <c r="I3" s="423" t="str">
        <f>Ref_table!I336</f>
        <v>2001</v>
      </c>
      <c r="J3" s="423" t="str">
        <f>Ref_table!J336</f>
        <v>2002</v>
      </c>
      <c r="K3" s="423" t="str">
        <f>Ref_table!K336</f>
        <v>2003</v>
      </c>
      <c r="L3" s="423" t="str">
        <f>Ref_table!L336</f>
        <v>2004</v>
      </c>
      <c r="M3" s="424" t="str">
        <f>Ref_table!M336</f>
        <v>t10 (2005)</v>
      </c>
    </row>
    <row r="4" spans="1:13" ht="18.75">
      <c r="A4" s="1080" t="str">
        <f>Ref_table!A337</f>
        <v>Physical Assets [in EPUE]</v>
      </c>
      <c r="B4" s="1081">
        <f>Ref_table!B337</f>
        <v>0</v>
      </c>
      <c r="C4" s="1081">
        <f>Ref_table!C337</f>
        <v>0</v>
      </c>
      <c r="D4" s="1081">
        <f>Ref_table!D337</f>
        <v>0</v>
      </c>
      <c r="E4" s="1081">
        <f>Ref_table!E337</f>
        <v>0</v>
      </c>
      <c r="F4" s="1081">
        <f>Ref_table!F337</f>
        <v>0</v>
      </c>
      <c r="G4" s="1081">
        <f>Ref_table!G337</f>
        <v>0</v>
      </c>
      <c r="H4" s="1081">
        <f>Ref_table!H337</f>
        <v>0</v>
      </c>
      <c r="I4" s="1081">
        <f>Ref_table!I337</f>
        <v>0</v>
      </c>
      <c r="J4" s="1081">
        <f>Ref_table!J337</f>
        <v>0</v>
      </c>
      <c r="K4" s="1081">
        <f>Ref_table!K337</f>
        <v>0</v>
      </c>
      <c r="L4" s="1081">
        <f>Ref_table!L337</f>
        <v>0</v>
      </c>
      <c r="M4" s="1082">
        <f>Ref_table!M337</f>
        <v>0</v>
      </c>
    </row>
    <row r="5" spans="1:13" ht="15.75">
      <c r="A5" s="615" t="str">
        <f>Ref_table!A338</f>
        <v>H1</v>
      </c>
      <c r="B5" s="574" t="str">
        <f>Ref_table!B338</f>
        <v>Opening Balance Sheet Total Ecosystem Potential, in 10^3 EPUE [bottomline F5 = F1]</v>
      </c>
      <c r="C5" s="410">
        <f>Ref_table!C338</f>
        <v>0</v>
      </c>
      <c r="D5" s="410">
        <f>Ref_table!D338</f>
        <v>0</v>
      </c>
      <c r="E5" s="410">
        <f>Ref_table!E338</f>
        <v>0</v>
      </c>
      <c r="F5" s="410">
        <f>Ref_table!F338</f>
        <v>0</v>
      </c>
      <c r="G5" s="410">
        <f>Ref_table!G338</f>
        <v>0</v>
      </c>
      <c r="H5" s="410">
        <f>Ref_table!H338</f>
        <v>0</v>
      </c>
      <c r="I5" s="410">
        <f>Ref_table!I338</f>
        <v>0</v>
      </c>
      <c r="J5" s="410">
        <f>Ref_table!J338</f>
        <v>0</v>
      </c>
      <c r="K5" s="415">
        <f>Ref_table!K338</f>
        <v>0</v>
      </c>
      <c r="L5" s="410">
        <f>Ref_table!L338</f>
        <v>0</v>
      </c>
      <c r="M5" s="593">
        <f>Ref_table!M338</f>
        <v>0</v>
      </c>
    </row>
    <row r="6" spans="1:13" ht="15.75">
      <c r="A6" s="615" t="str">
        <f>Ref_table!A339</f>
        <v>H11=F5</v>
      </c>
      <c r="B6" s="574" t="str">
        <f>Ref_table!B339</f>
        <v>Non-financial ecosystem assets</v>
      </c>
      <c r="C6" s="410">
        <f>Ref_table!C339</f>
        <v>15067531.42508128</v>
      </c>
      <c r="D6" s="410">
        <f>Ref_table!D339</f>
        <v>14932708.850288566</v>
      </c>
      <c r="E6" s="410">
        <f>Ref_table!E339</f>
        <v>14797886.275495853</v>
      </c>
      <c r="F6" s="410">
        <f>Ref_table!F339</f>
        <v>14663063.70070314</v>
      </c>
      <c r="G6" s="410">
        <f>Ref_table!G339</f>
        <v>14528241.125910427</v>
      </c>
      <c r="H6" s="410">
        <f>Ref_table!H339</f>
        <v>14393418.551117714</v>
      </c>
      <c r="I6" s="410">
        <f>Ref_table!I339</f>
        <v>14258595.976325002</v>
      </c>
      <c r="J6" s="410">
        <f>Ref_table!J339</f>
        <v>14123773.401532289</v>
      </c>
      <c r="K6" s="415">
        <f>Ref_table!K339</f>
        <v>13988950.826739576</v>
      </c>
      <c r="L6" s="410">
        <f>Ref_table!L339</f>
        <v>13854128.251946863</v>
      </c>
      <c r="M6" s="593">
        <f>Ref_table!M339</f>
        <v>13719305.67715415</v>
      </c>
    </row>
    <row r="7" spans="1:13" ht="15">
      <c r="A7" s="688" t="str">
        <f>Ref_table!A340</f>
        <v>h111</v>
      </c>
      <c r="B7" s="131" t="str">
        <f>Ref_table!B340</f>
        <v>Land ecosystems</v>
      </c>
      <c r="C7" s="10">
        <f>Ref_table!C340</f>
        <v>1272762.5</v>
      </c>
      <c r="D7" s="10">
        <f>Ref_table!D340</f>
        <v>1260167.4642886238</v>
      </c>
      <c r="E7" s="10">
        <f>Ref_table!E340</f>
        <v>1247572.4285772475</v>
      </c>
      <c r="F7" s="10">
        <f>Ref_table!F340</f>
        <v>1234977.3928658713</v>
      </c>
      <c r="G7" s="10">
        <f>Ref_table!G340</f>
        <v>1222382.357154495</v>
      </c>
      <c r="H7" s="10">
        <f>Ref_table!H340</f>
        <v>1209787.3214431189</v>
      </c>
      <c r="I7" s="10">
        <f>Ref_table!I340</f>
        <v>1197192.2857317426</v>
      </c>
      <c r="J7" s="10">
        <f>Ref_table!J340</f>
        <v>1184597.2500203664</v>
      </c>
      <c r="K7" s="1028">
        <f>Ref_table!K340</f>
        <v>1172002.2143089902</v>
      </c>
      <c r="L7" s="10">
        <f>Ref_table!L340</f>
        <v>1159407.178597614</v>
      </c>
      <c r="M7" s="420">
        <f>Ref_table!M340</f>
        <v>1146812.1428862372</v>
      </c>
    </row>
    <row r="8" spans="1:13" ht="15">
      <c r="A8" s="688" t="str">
        <f>Ref_table!A341</f>
        <v>h112</v>
      </c>
      <c r="B8" s="131" t="str">
        <f>Ref_table!B341</f>
        <v>River ecosystems</v>
      </c>
      <c r="C8" s="10">
        <f>Ref_table!C341</f>
        <v>63259.58508127816</v>
      </c>
      <c r="D8" s="10">
        <f>Ref_table!D341</f>
        <v>62679.98491961437</v>
      </c>
      <c r="E8" s="10">
        <f>Ref_table!E341</f>
        <v>62100.38475795058</v>
      </c>
      <c r="F8" s="10">
        <f>Ref_table!F341</f>
        <v>61520.784596286794</v>
      </c>
      <c r="G8" s="10">
        <f>Ref_table!G341</f>
        <v>60941.18443462301</v>
      </c>
      <c r="H8" s="10">
        <f>Ref_table!H341</f>
        <v>60361.58427295922</v>
      </c>
      <c r="I8" s="10">
        <f>Ref_table!I341</f>
        <v>59781.98411129543</v>
      </c>
      <c r="J8" s="10">
        <f>Ref_table!J341</f>
        <v>59202.38394963164</v>
      </c>
      <c r="K8" s="1028">
        <f>Ref_table!K341</f>
        <v>58622.783787967855</v>
      </c>
      <c r="L8" s="10">
        <f>Ref_table!L341</f>
        <v>58043.18362630407</v>
      </c>
      <c r="M8" s="420">
        <f>Ref_table!M341</f>
        <v>57463.583464640265</v>
      </c>
    </row>
    <row r="9" spans="1:13" ht="15">
      <c r="A9" s="688" t="str">
        <f>Ref_table!A342</f>
        <v>h113</v>
      </c>
      <c r="B9" s="131" t="str">
        <f>Ref_table!B342</f>
        <v>Sea</v>
      </c>
      <c r="C9" s="10">
        <f>Ref_table!C342</f>
        <v>14437.440000000002</v>
      </c>
      <c r="D9" s="10">
        <f>Ref_table!D342</f>
        <v>13499.73380032721</v>
      </c>
      <c r="E9" s="10">
        <f>Ref_table!E342</f>
        <v>12562.027600654419</v>
      </c>
      <c r="F9" s="10">
        <f>Ref_table!F342</f>
        <v>11624.321400981627</v>
      </c>
      <c r="G9" s="10">
        <f>Ref_table!G342</f>
        <v>10686.615201308836</v>
      </c>
      <c r="H9" s="10">
        <f>Ref_table!H342</f>
        <v>9748.909001636044</v>
      </c>
      <c r="I9" s="10">
        <f>Ref_table!I342</f>
        <v>8811.202801963253</v>
      </c>
      <c r="J9" s="10">
        <f>Ref_table!J342</f>
        <v>7873.496602290461</v>
      </c>
      <c r="K9" s="1028">
        <f>Ref_table!K342</f>
        <v>6935.790402617669</v>
      </c>
      <c r="L9" s="10">
        <f>Ref_table!L342</f>
        <v>5998.084202944878</v>
      </c>
      <c r="M9" s="420">
        <f>Ref_table!M342</f>
        <v>5060.378003272087</v>
      </c>
    </row>
    <row r="10" spans="1:13" ht="15">
      <c r="A10" s="688" t="str">
        <f>Ref_table!A343</f>
        <v>h114</v>
      </c>
      <c r="B10" s="131" t="str">
        <f>Ref_table!B343</f>
        <v>Atmosphere</v>
      </c>
      <c r="C10" s="10">
        <f>Ref_table!C343</f>
        <v>13717071.9</v>
      </c>
      <c r="D10" s="10">
        <f>Ref_table!D343</f>
        <v>13596361.66728</v>
      </c>
      <c r="E10" s="10">
        <f>Ref_table!E343</f>
        <v>13475651.434559999</v>
      </c>
      <c r="F10" s="10">
        <f>Ref_table!F343</f>
        <v>13354941.201839998</v>
      </c>
      <c r="G10" s="10">
        <f>Ref_table!G343</f>
        <v>13234230.969119998</v>
      </c>
      <c r="H10" s="10">
        <f>Ref_table!H343</f>
        <v>13113520.736399997</v>
      </c>
      <c r="I10" s="10">
        <f>Ref_table!I343</f>
        <v>12992810.503679996</v>
      </c>
      <c r="J10" s="10">
        <f>Ref_table!J343</f>
        <v>12872100.270959996</v>
      </c>
      <c r="K10" s="1028">
        <f>Ref_table!K343</f>
        <v>12751390.038239995</v>
      </c>
      <c r="L10" s="10">
        <f>Ref_table!L343</f>
        <v>12630679.805519994</v>
      </c>
      <c r="M10" s="420">
        <f>Ref_table!M343</f>
        <v>12509969.572800001</v>
      </c>
    </row>
    <row r="11" spans="1:13" ht="15.75">
      <c r="A11" s="615" t="str">
        <f>Ref_table!A344</f>
        <v>H12</v>
      </c>
      <c r="B11" s="574" t="str">
        <f>Ref_table!B344</f>
        <v>Financial ecosystem assets (in 10^3 EPUE)</v>
      </c>
      <c r="C11" s="410">
        <f>Ref_table!C344</f>
        <v>0</v>
      </c>
      <c r="D11" s="410">
        <f>Ref_table!D344</f>
        <v>0</v>
      </c>
      <c r="E11" s="410">
        <f>Ref_table!E344</f>
        <v>0</v>
      </c>
      <c r="F11" s="410">
        <f>Ref_table!F344</f>
        <v>0</v>
      </c>
      <c r="G11" s="410">
        <f>Ref_table!G344</f>
        <v>0</v>
      </c>
      <c r="H11" s="410">
        <f>Ref_table!H344</f>
        <v>0</v>
      </c>
      <c r="I11" s="410">
        <f>Ref_table!I344</f>
        <v>0</v>
      </c>
      <c r="J11" s="410">
        <f>Ref_table!J344</f>
        <v>0</v>
      </c>
      <c r="K11" s="415">
        <f>Ref_table!K344</f>
        <v>0</v>
      </c>
      <c r="L11" s="410">
        <f>Ref_table!L344</f>
        <v>0</v>
      </c>
      <c r="M11" s="593">
        <f>Ref_table!M344</f>
        <v>0</v>
      </c>
    </row>
    <row r="12" spans="1:13" ht="15">
      <c r="A12" s="1087" t="str">
        <f>Ref_table!A345</f>
        <v>Change in Total Ecosystem Potential &amp; Ecosystem capital degradation</v>
      </c>
      <c r="B12" s="1088">
        <f>Ref_table!B345</f>
        <v>0</v>
      </c>
      <c r="C12" s="1089">
        <f>Ref_table!C345</f>
        <v>0</v>
      </c>
      <c r="D12" s="1089">
        <f>Ref_table!D345</f>
        <v>0</v>
      </c>
      <c r="E12" s="1089">
        <f>Ref_table!E345</f>
        <v>0</v>
      </c>
      <c r="F12" s="1089">
        <f>Ref_table!F345</f>
        <v>0</v>
      </c>
      <c r="G12" s="1089">
        <f>Ref_table!G345</f>
        <v>0</v>
      </c>
      <c r="H12" s="1089">
        <f>Ref_table!H345</f>
        <v>0</v>
      </c>
      <c r="I12" s="1089">
        <f>Ref_table!I345</f>
        <v>0</v>
      </c>
      <c r="J12" s="1089">
        <f>Ref_table!J345</f>
        <v>0</v>
      </c>
      <c r="K12" s="1089">
        <f>Ref_table!K345</f>
        <v>0</v>
      </c>
      <c r="L12" s="1089">
        <f>Ref_table!L345</f>
        <v>0</v>
      </c>
      <c r="M12" s="1090">
        <f>Ref_table!M345</f>
        <v>0</v>
      </c>
    </row>
    <row r="13" spans="1:13" ht="15">
      <c r="A13" s="872" t="str">
        <f>Ref_table!A346</f>
        <v>H21</v>
      </c>
      <c r="B13" s="1025" t="str">
        <f>Ref_table!B346</f>
        <v>Change in Ecosystem Potential Due to Economic Activities</v>
      </c>
      <c r="C13" s="903">
        <f>Ref_table!C346</f>
        <v>-158645.2092990155</v>
      </c>
      <c r="D13" s="903">
        <f>Ref_table!D346</f>
        <v>-161882.86663164847</v>
      </c>
      <c r="E13" s="903">
        <f>Ref_table!E346</f>
        <v>-165186.59860372293</v>
      </c>
      <c r="F13" s="903">
        <f>Ref_table!F346</f>
        <v>-168557.7536772683</v>
      </c>
      <c r="G13" s="903">
        <f>Ref_table!G346</f>
        <v>-171997.70783394726</v>
      </c>
      <c r="H13" s="903">
        <f>Ref_table!H346</f>
        <v>-175437.66199062622</v>
      </c>
      <c r="I13" s="903">
        <f>Ref_table!I346</f>
        <v>-178946.41523043875</v>
      </c>
      <c r="J13" s="903">
        <f>Ref_table!J346</f>
        <v>-182525.34353504752</v>
      </c>
      <c r="K13" s="903">
        <f>Ref_table!K346</f>
        <v>-186175.85040574847</v>
      </c>
      <c r="L13" s="903">
        <f>Ref_table!L346</f>
        <v>-189899.36741386345</v>
      </c>
      <c r="M13" s="903">
        <f>Ref_table!M346</f>
        <v>-193697.35476214072</v>
      </c>
    </row>
    <row r="14" spans="1:13" ht="15">
      <c r="A14" s="142" t="str">
        <f>Ref_table!A347</f>
        <v>f71</v>
      </c>
      <c r="B14" s="235" t="str">
        <f>Ref_table!B347</f>
        <v>Effect of Ecosystem restoration programme, in 10^3 EPUE </v>
      </c>
      <c r="C14" s="38">
        <f>Ref_table!C347</f>
        <v>23362.382042400157</v>
      </c>
      <c r="D14" s="38">
        <f>Ref_table!D347</f>
        <v>23839.165349387917</v>
      </c>
      <c r="E14" s="38">
        <f>Ref_table!E347</f>
        <v>24325.678927946854</v>
      </c>
      <c r="F14" s="38">
        <f>Ref_table!F347</f>
        <v>24822.12135504781</v>
      </c>
      <c r="G14" s="38">
        <f>Ref_table!G347</f>
        <v>25328.69526025287</v>
      </c>
      <c r="H14" s="38">
        <f>Ref_table!H347</f>
        <v>25835.26916545793</v>
      </c>
      <c r="I14" s="38">
        <f>Ref_table!I347</f>
        <v>26351.974548767088</v>
      </c>
      <c r="J14" s="38">
        <f>Ref_table!J347</f>
        <v>26879.01403974243</v>
      </c>
      <c r="K14" s="38">
        <f>Ref_table!K347</f>
        <v>27416.59432053728</v>
      </c>
      <c r="L14" s="38">
        <f>Ref_table!L347</f>
        <v>27964.926206948025</v>
      </c>
      <c r="M14" s="873">
        <f>Ref_table!M347</f>
        <v>28524.224731086986</v>
      </c>
    </row>
    <row r="15" spans="1:13" ht="15">
      <c r="A15" s="874" t="str">
        <f>Ref_table!A348</f>
        <v>F9</v>
      </c>
      <c r="B15" s="875" t="str">
        <f>Ref_table!B348</f>
        <v>Territorial Ecosystem Capital Degradation (TECD), in 10^3 EPUE [F9=F8-F10]</v>
      </c>
      <c r="C15" s="487">
        <f>Ref_table!C348</f>
        <v>-182007.59134141565</v>
      </c>
      <c r="D15" s="487">
        <f>Ref_table!D348</f>
        <v>-185722.0319810364</v>
      </c>
      <c r="E15" s="487">
        <f>Ref_table!E348</f>
        <v>-189512.2775316698</v>
      </c>
      <c r="F15" s="487">
        <f>Ref_table!F348</f>
        <v>-193379.8750323161</v>
      </c>
      <c r="G15" s="487">
        <f>Ref_table!G348</f>
        <v>-197326.40309420013</v>
      </c>
      <c r="H15" s="487">
        <f>Ref_table!H348</f>
        <v>-201272.93115608415</v>
      </c>
      <c r="I15" s="487">
        <f>Ref_table!I348</f>
        <v>-205298.38977920584</v>
      </c>
      <c r="J15" s="487">
        <f>Ref_table!J348</f>
        <v>-209404.35757478996</v>
      </c>
      <c r="K15" s="487">
        <f>Ref_table!K348</f>
        <v>-213592.44472628576</v>
      </c>
      <c r="L15" s="487">
        <f>Ref_table!L348</f>
        <v>-217864.29362081148</v>
      </c>
      <c r="M15" s="487">
        <f>Ref_table!M348</f>
        <v>-222221.5794932277</v>
      </c>
    </row>
    <row r="16" spans="1:13" ht="15.75">
      <c r="A16" s="615" t="str">
        <f>Ref_table!A349</f>
        <v>H22</v>
      </c>
      <c r="B16" s="574" t="str">
        <f>Ref_table!B349</f>
        <v>Other Change in Volume of Ecosystem Capital</v>
      </c>
      <c r="C16" s="903">
        <f>Ref_table!C349</f>
        <v>34289.15906099863</v>
      </c>
      <c r="D16" s="903">
        <f>Ref_table!D349</f>
        <v>34988.93781734554</v>
      </c>
      <c r="E16" s="903">
        <f>Ref_table!E349</f>
        <v>35702.997772801566</v>
      </c>
      <c r="F16" s="903">
        <f>Ref_table!F349</f>
        <v>36431.63038040976</v>
      </c>
      <c r="G16" s="903">
        <f>Ref_table!G349</f>
        <v>37175.133041234454</v>
      </c>
      <c r="H16" s="903">
        <f>Ref_table!H349</f>
        <v>37918.63570205914</v>
      </c>
      <c r="I16" s="903">
        <f>Ref_table!I349</f>
        <v>38677.00841610032</v>
      </c>
      <c r="J16" s="903">
        <f>Ref_table!J349</f>
        <v>39450.54858442233</v>
      </c>
      <c r="K16" s="903">
        <f>Ref_table!K349</f>
        <v>40239.55955611078</v>
      </c>
      <c r="L16" s="903">
        <f>Ref_table!L349</f>
        <v>41044.35074723299</v>
      </c>
      <c r="M16" s="903">
        <f>Ref_table!M349</f>
        <v>41865.237762177654</v>
      </c>
    </row>
    <row r="17" spans="1:13" ht="15">
      <c r="A17" s="142" t="str">
        <f>Ref_table!A350</f>
        <v>f72</v>
      </c>
      <c r="B17" s="235" t="str">
        <f>Ref_table!B350</f>
        <v>Ecosystem spontaneous natural improvement, in 10^3 EPUE </v>
      </c>
      <c r="C17" s="38">
        <f>Ref_table!C350</f>
        <v>54512.22476560037</v>
      </c>
      <c r="D17" s="38">
        <f>Ref_table!D350</f>
        <v>55624.71914857181</v>
      </c>
      <c r="E17" s="38">
        <f>Ref_table!E350</f>
        <v>56759.91749854266</v>
      </c>
      <c r="F17" s="38">
        <f>Ref_table!F350</f>
        <v>57918.28316177822</v>
      </c>
      <c r="G17" s="44">
        <f>Ref_table!G350</f>
        <v>59100.28894059002</v>
      </c>
      <c r="H17" s="38">
        <f>Ref_table!H350</f>
        <v>60282.29471940182</v>
      </c>
      <c r="I17" s="38">
        <f>Ref_table!I350</f>
        <v>61487.940613789855</v>
      </c>
      <c r="J17" s="38">
        <f>Ref_table!J350</f>
        <v>62717.69942606565</v>
      </c>
      <c r="K17" s="38">
        <f>Ref_table!K350</f>
        <v>63972.05341458697</v>
      </c>
      <c r="L17" s="38">
        <f>Ref_table!L350</f>
        <v>65251.494482878705</v>
      </c>
      <c r="M17" s="38">
        <f>Ref_table!M350</f>
        <v>66556.52437253628</v>
      </c>
    </row>
    <row r="18" spans="1:13" ht="15">
      <c r="A18" s="142" t="str">
        <f>Ref_table!A351</f>
        <v>f82</v>
      </c>
      <c r="B18" s="235" t="str">
        <f>Ref_table!B351</f>
        <v>Effect of natural disturbances, in 10^3 EPUE</v>
      </c>
      <c r="C18" s="38">
        <f>Ref_table!C351</f>
        <v>-20223.06570460174</v>
      </c>
      <c r="D18" s="38">
        <f>Ref_table!D351</f>
        <v>-20635.781331226266</v>
      </c>
      <c r="E18" s="38">
        <f>Ref_table!E351</f>
        <v>-21056.91972574109</v>
      </c>
      <c r="F18" s="38">
        <f>Ref_table!F351</f>
        <v>-21486.65278136846</v>
      </c>
      <c r="G18" s="38">
        <f>Ref_table!G351</f>
        <v>-21925.15589935557</v>
      </c>
      <c r="H18" s="38">
        <f>Ref_table!H351</f>
        <v>-22363.65901734268</v>
      </c>
      <c r="I18" s="38">
        <f>Ref_table!I351</f>
        <v>-22810.932197689533</v>
      </c>
      <c r="J18" s="38">
        <f>Ref_table!J351</f>
        <v>-23267.150841643324</v>
      </c>
      <c r="K18" s="38">
        <f>Ref_table!K351</f>
        <v>-23732.49385847619</v>
      </c>
      <c r="L18" s="38">
        <f>Ref_table!L351</f>
        <v>-24207.143735645717</v>
      </c>
      <c r="M18" s="38">
        <f>Ref_table!M351</f>
        <v>-24691.28661035863</v>
      </c>
    </row>
    <row r="19" spans="1:13" ht="15.75">
      <c r="A19" s="295" t="str">
        <f>Ref_table!A352</f>
        <v>H4</v>
      </c>
      <c r="B19" s="574" t="str">
        <f>Ref_table!B352</f>
        <v>Net Change in Physical Ecosystem Assets TEP (-) or (+) [L5 = f71+f72-F9-F8]</v>
      </c>
      <c r="C19" s="904">
        <f>Ref_table!C352</f>
        <v>-124356.05023801686</v>
      </c>
      <c r="D19" s="904">
        <f>Ref_table!D352</f>
        <v>-126893.92881430293</v>
      </c>
      <c r="E19" s="904">
        <f>Ref_table!E352</f>
        <v>-129483.60083092136</v>
      </c>
      <c r="F19" s="904">
        <f>Ref_table!F352</f>
        <v>-132126.12329685854</v>
      </c>
      <c r="G19" s="904">
        <f>Ref_table!G352</f>
        <v>-134822.5747927128</v>
      </c>
      <c r="H19" s="904">
        <f>Ref_table!H352</f>
        <v>-137519.02628856708</v>
      </c>
      <c r="I19" s="904">
        <f>Ref_table!I352</f>
        <v>-140269.40681433844</v>
      </c>
      <c r="J19" s="904">
        <f>Ref_table!J352</f>
        <v>-143074.7949506252</v>
      </c>
      <c r="K19" s="904">
        <f>Ref_table!K352</f>
        <v>-145936.2908496377</v>
      </c>
      <c r="L19" s="904">
        <f>Ref_table!L352</f>
        <v>-148855.01666663046</v>
      </c>
      <c r="M19" s="904">
        <f>Ref_table!M352</f>
        <v>-151832.11699996307</v>
      </c>
    </row>
    <row r="20" spans="1:13" ht="15">
      <c r="A20" s="688" t="str">
        <f>Ref_table!A353</f>
        <v>h411</v>
      </c>
      <c r="B20" s="131" t="str">
        <f>Ref_table!B353</f>
        <v>Land ecosystems</v>
      </c>
      <c r="C20" s="10">
        <f>Ref_table!C353</f>
        <v>-11617.259914236383</v>
      </c>
      <c r="D20" s="10">
        <f>Ref_table!D353</f>
        <v>-11854.346851261616</v>
      </c>
      <c r="E20" s="10">
        <f>Ref_table!E353</f>
        <v>-12096.27229720573</v>
      </c>
      <c r="F20" s="10">
        <f>Ref_table!F353</f>
        <v>-12343.134997148705</v>
      </c>
      <c r="G20" s="10">
        <f>Ref_table!G353</f>
        <v>-12595.03571137623</v>
      </c>
      <c r="H20" s="10">
        <f>Ref_table!H353</f>
        <v>-12595.03571137623</v>
      </c>
      <c r="I20" s="10">
        <f>Ref_table!I353</f>
        <v>-12595.03571137623</v>
      </c>
      <c r="J20" s="10">
        <f>Ref_table!J353</f>
        <v>-12595.03571137623</v>
      </c>
      <c r="K20" s="10">
        <f>Ref_table!K353</f>
        <v>-12595.03571137623</v>
      </c>
      <c r="L20" s="10">
        <f>Ref_table!L353</f>
        <v>-12595.03571137623</v>
      </c>
      <c r="M20" s="420">
        <f>Ref_table!M353</f>
        <v>-12595.035711376695</v>
      </c>
    </row>
    <row r="21" spans="1:13" ht="15">
      <c r="A21" s="688" t="str">
        <f>Ref_table!A354</f>
        <v>h412</v>
      </c>
      <c r="B21" s="131" t="str">
        <f>Ref_table!B354</f>
        <v>River ecosystems</v>
      </c>
      <c r="C21" s="10">
        <f>Ref_table!C354</f>
        <v>-534.6047346495303</v>
      </c>
      <c r="D21" s="10">
        <f>Ref_table!D354</f>
        <v>-545.5150353566636</v>
      </c>
      <c r="E21" s="10">
        <f>Ref_table!E354</f>
        <v>-556.6479952619017</v>
      </c>
      <c r="F21" s="10">
        <f>Ref_table!F354</f>
        <v>-568.0081584305119</v>
      </c>
      <c r="G21" s="10">
        <f>Ref_table!G354</f>
        <v>-579.6001616637877</v>
      </c>
      <c r="H21" s="10">
        <f>Ref_table!H354</f>
        <v>-579.6001616637877</v>
      </c>
      <c r="I21" s="10">
        <f>Ref_table!I354</f>
        <v>-579.6001616637877</v>
      </c>
      <c r="J21" s="10">
        <f>Ref_table!J354</f>
        <v>-579.6001616637877</v>
      </c>
      <c r="K21" s="10">
        <f>Ref_table!K354</f>
        <v>-579.6001616637877</v>
      </c>
      <c r="L21" s="10">
        <f>Ref_table!L354</f>
        <v>-579.6001616637877</v>
      </c>
      <c r="M21" s="420">
        <f>Ref_table!M354</f>
        <v>-579.6001616638023</v>
      </c>
    </row>
    <row r="22" spans="1:13" ht="15">
      <c r="A22" s="688" t="str">
        <f>Ref_table!A355</f>
        <v>h413</v>
      </c>
      <c r="B22" s="131" t="str">
        <f>Ref_table!B355</f>
        <v>Sea</v>
      </c>
      <c r="C22" s="10">
        <f>Ref_table!C355</f>
        <v>-864.9103420127853</v>
      </c>
      <c r="D22" s="10">
        <f>Ref_table!D355</f>
        <v>-882.561573482434</v>
      </c>
      <c r="E22" s="10">
        <f>Ref_table!E355</f>
        <v>-900.573034165749</v>
      </c>
      <c r="F22" s="10">
        <f>Ref_table!F355</f>
        <v>-918.9520756793357</v>
      </c>
      <c r="G22" s="10">
        <f>Ref_table!G355</f>
        <v>-937.7061996727916</v>
      </c>
      <c r="H22" s="10">
        <f>Ref_table!H355</f>
        <v>-937.7061996727916</v>
      </c>
      <c r="I22" s="10">
        <f>Ref_table!I355</f>
        <v>-937.7061996727916</v>
      </c>
      <c r="J22" s="10">
        <f>Ref_table!J355</f>
        <v>-937.7061996727916</v>
      </c>
      <c r="K22" s="10">
        <f>Ref_table!K355</f>
        <v>-937.7061996727916</v>
      </c>
      <c r="L22" s="10">
        <f>Ref_table!L355</f>
        <v>-937.7061996727916</v>
      </c>
      <c r="M22" s="420">
        <f>Ref_table!M355</f>
        <v>-937.7061996727907</v>
      </c>
    </row>
    <row r="23" spans="1:13" ht="15">
      <c r="A23" s="688" t="str">
        <f>Ref_table!A356</f>
        <v>h414</v>
      </c>
      <c r="B23" s="131" t="str">
        <f>Ref_table!B356</f>
        <v>Atmosphere</v>
      </c>
      <c r="C23" s="10">
        <f>Ref_table!C356</f>
        <v>-111339.2752471188</v>
      </c>
      <c r="D23" s="10">
        <f>Ref_table!D356</f>
        <v>-113611.50535420286</v>
      </c>
      <c r="E23" s="10">
        <f>Ref_table!E356</f>
        <v>-115930.10750428864</v>
      </c>
      <c r="F23" s="10">
        <f>Ref_table!F356</f>
        <v>-118296.02806560065</v>
      </c>
      <c r="G23" s="10">
        <f>Ref_table!G356</f>
        <v>-120710.23272000067</v>
      </c>
      <c r="H23" s="10">
        <f>Ref_table!H356</f>
        <v>-120710.23272000067</v>
      </c>
      <c r="I23" s="10">
        <f>Ref_table!I356</f>
        <v>-120710.23272000067</v>
      </c>
      <c r="J23" s="10">
        <f>Ref_table!J356</f>
        <v>-120710.23272000067</v>
      </c>
      <c r="K23" s="10">
        <f>Ref_table!K356</f>
        <v>-120710.23272000067</v>
      </c>
      <c r="L23" s="10">
        <f>Ref_table!L356</f>
        <v>-120710.23272000067</v>
      </c>
      <c r="M23" s="420">
        <f>Ref_table!M356</f>
        <v>-120710.23271999322</v>
      </c>
    </row>
    <row r="24" spans="1:13" ht="15">
      <c r="A24" s="1091" t="str">
        <f>Ref_table!A357</f>
        <v>Adjustment</v>
      </c>
      <c r="B24" s="1092">
        <f>Ref_table!B357</f>
        <v>0</v>
      </c>
      <c r="C24" s="905">
        <f>Ref_table!C357</f>
        <v>-10466.524554695949</v>
      </c>
      <c r="D24" s="905">
        <f>Ref_table!D357</f>
        <v>-7928.645978409884</v>
      </c>
      <c r="E24" s="905">
        <f>Ref_table!E357</f>
        <v>-5338.973961791446</v>
      </c>
      <c r="F24" s="905">
        <f>Ref_table!F357</f>
        <v>-2696.4514958542713</v>
      </c>
      <c r="G24" s="905">
        <f>Ref_table!G357</f>
        <v>0</v>
      </c>
      <c r="H24" s="905">
        <f>Ref_table!H357</f>
        <v>2696.4514958542713</v>
      </c>
      <c r="I24" s="905">
        <f>Ref_table!I357</f>
        <v>5446.832021625625</v>
      </c>
      <c r="J24" s="905">
        <f>Ref_table!J357</f>
        <v>8252.22015791238</v>
      </c>
      <c r="K24" s="905">
        <f>Ref_table!K357</f>
        <v>11113.716056924895</v>
      </c>
      <c r="L24" s="905">
        <f>Ref_table!L357</f>
        <v>14032.441873917647</v>
      </c>
      <c r="M24" s="905">
        <f>Ref_table!M357</f>
        <v>17009.542207250255</v>
      </c>
    </row>
    <row r="25" spans="1:13" ht="15.75">
      <c r="A25" s="615" t="str">
        <f>Ref_table!A358</f>
        <v>H4</v>
      </c>
      <c r="B25" s="600" t="str">
        <f>Ref_table!B358</f>
        <v>Acquisition of new ecosystem physical assets (ECD embedded into exports)</v>
      </c>
      <c r="C25" s="692">
        <f>Ref_table!C358</f>
        <v>0</v>
      </c>
      <c r="D25" s="692">
        <f>Ref_table!D358</f>
        <v>0</v>
      </c>
      <c r="E25" s="692">
        <f>Ref_table!E358</f>
        <v>0</v>
      </c>
      <c r="F25" s="692">
        <f>Ref_table!F358</f>
        <v>0</v>
      </c>
      <c r="G25" s="692">
        <f>Ref_table!G358</f>
        <v>0</v>
      </c>
      <c r="H25" s="692">
        <f>Ref_table!H358</f>
        <v>0</v>
      </c>
      <c r="I25" s="692">
        <f>Ref_table!I358</f>
        <v>0</v>
      </c>
      <c r="J25" s="692">
        <f>Ref_table!J358</f>
        <v>0</v>
      </c>
      <c r="K25" s="692">
        <f>Ref_table!K358</f>
        <v>0</v>
      </c>
      <c r="L25" s="692">
        <f>Ref_table!L358</f>
        <v>0</v>
      </c>
      <c r="M25" s="693">
        <f>Ref_table!M358</f>
        <v>0</v>
      </c>
    </row>
    <row r="26" spans="1:13" ht="15.75">
      <c r="A26" s="615" t="str">
        <f>Ref_table!A359</f>
        <v>H5</v>
      </c>
      <c r="B26" s="574" t="str">
        <f>Ref_table!B359</f>
        <v>Closing Balance Sheet Total Ecosystem Potential, in 10^3 EPUE [H5=(F2*(1-((F4-F3)/F3))]+ H4</v>
      </c>
      <c r="C26" s="410">
        <f>Ref_table!C359</f>
        <v>14932708.850288566</v>
      </c>
      <c r="D26" s="410">
        <f>Ref_table!D359</f>
        <v>14797886.275495853</v>
      </c>
      <c r="E26" s="410">
        <f>Ref_table!E359</f>
        <v>14663063.70070314</v>
      </c>
      <c r="F26" s="410">
        <f>Ref_table!F359</f>
        <v>14528241.125910427</v>
      </c>
      <c r="G26" s="410">
        <f>Ref_table!G359</f>
        <v>14393418.551117714</v>
      </c>
      <c r="H26" s="410">
        <f>Ref_table!H359</f>
        <v>14258595.976325002</v>
      </c>
      <c r="I26" s="410">
        <f>Ref_table!I359</f>
        <v>14123773.401532289</v>
      </c>
      <c r="J26" s="410">
        <f>Ref_table!J359</f>
        <v>13988950.826739576</v>
      </c>
      <c r="K26" s="410">
        <f>Ref_table!K359</f>
        <v>13854128.251946863</v>
      </c>
      <c r="L26" s="410">
        <f>Ref_table!L359</f>
        <v>13719305.67715415</v>
      </c>
      <c r="M26" s="593">
        <f>Ref_table!M359</f>
        <v>0</v>
      </c>
    </row>
    <row r="27" spans="1:13" ht="15.75">
      <c r="A27" s="615" t="str">
        <f>Ref_table!A360</f>
        <v>H51=F5</v>
      </c>
      <c r="B27" s="574" t="str">
        <f>Ref_table!B360</f>
        <v>Non-financial ecosystem assets</v>
      </c>
      <c r="C27" s="410">
        <f>Ref_table!C360</f>
        <v>0</v>
      </c>
      <c r="D27" s="410">
        <f>Ref_table!D360</f>
        <v>431949.75264976546</v>
      </c>
      <c r="E27" s="410">
        <f>Ref_table!E360</f>
        <v>863899.5052995309</v>
      </c>
      <c r="F27" s="410">
        <f>Ref_table!F360</f>
        <v>1295849.2579492964</v>
      </c>
      <c r="G27" s="410">
        <f>Ref_table!G360</f>
        <v>1727799.0105990618</v>
      </c>
      <c r="H27" s="410">
        <f>Ref_table!H360</f>
        <v>2159748.7632488273</v>
      </c>
      <c r="I27" s="410">
        <f>Ref_table!I360</f>
        <v>2591698.515898593</v>
      </c>
      <c r="J27" s="410">
        <f>Ref_table!J360</f>
        <v>3023648.268548358</v>
      </c>
      <c r="K27" s="593">
        <f>Ref_table!K360</f>
        <v>3455598.0211981237</v>
      </c>
      <c r="L27" s="414">
        <f>Ref_table!L360</f>
        <v>3887547.773847889</v>
      </c>
      <c r="M27" s="593">
        <f>Ref_table!M360</f>
        <v>4319497.526497655</v>
      </c>
    </row>
    <row r="28" spans="1:13" ht="15">
      <c r="A28" s="72" t="str">
        <f>Ref_table!A361</f>
        <v>h511</v>
      </c>
      <c r="B28" s="111" t="str">
        <f>Ref_table!B361</f>
        <v>Land ecosystems</v>
      </c>
      <c r="C28" s="133">
        <f>Ref_table!C361</f>
        <v>1260167.4642886238</v>
      </c>
      <c r="D28" s="133">
        <f>Ref_table!D361</f>
        <v>1247572.4285772475</v>
      </c>
      <c r="E28" s="133">
        <f>Ref_table!E361</f>
        <v>1234977.3928658713</v>
      </c>
      <c r="F28" s="133">
        <f>Ref_table!F361</f>
        <v>1222382.357154495</v>
      </c>
      <c r="G28" s="133">
        <f>Ref_table!G361</f>
        <v>1209787.3214431189</v>
      </c>
      <c r="H28" s="133">
        <f>Ref_table!H361</f>
        <v>1197192.2857317426</v>
      </c>
      <c r="I28" s="133">
        <f>Ref_table!I361</f>
        <v>1184597.2500203664</v>
      </c>
      <c r="J28" s="133">
        <f>Ref_table!J361</f>
        <v>1172002.2143089902</v>
      </c>
      <c r="K28" s="133">
        <f>Ref_table!K361</f>
        <v>1159407.178597614</v>
      </c>
      <c r="L28" s="133">
        <f>Ref_table!L361</f>
        <v>1146812.1428862372</v>
      </c>
      <c r="M28" s="690">
        <f>Ref_table!M361</f>
        <v>0</v>
      </c>
    </row>
    <row r="29" spans="1:13" ht="15">
      <c r="A29" s="72" t="str">
        <f>Ref_table!A362</f>
        <v>h512</v>
      </c>
      <c r="B29" s="111" t="str">
        <f>Ref_table!B362</f>
        <v>River ecosystems</v>
      </c>
      <c r="C29" s="133">
        <f>Ref_table!C362</f>
        <v>62679.98491961437</v>
      </c>
      <c r="D29" s="133">
        <f>Ref_table!D362</f>
        <v>62100.38475795058</v>
      </c>
      <c r="E29" s="133">
        <f>Ref_table!E362</f>
        <v>61520.784596286794</v>
      </c>
      <c r="F29" s="133">
        <f>Ref_table!F362</f>
        <v>60941.18443462301</v>
      </c>
      <c r="G29" s="133">
        <f>Ref_table!G362</f>
        <v>60361.58427295922</v>
      </c>
      <c r="H29" s="133">
        <f>Ref_table!H362</f>
        <v>59781.98411129543</v>
      </c>
      <c r="I29" s="133">
        <f>Ref_table!I362</f>
        <v>59202.38394963164</v>
      </c>
      <c r="J29" s="133">
        <f>Ref_table!J362</f>
        <v>58622.783787967855</v>
      </c>
      <c r="K29" s="133">
        <f>Ref_table!K362</f>
        <v>58043.18362630407</v>
      </c>
      <c r="L29" s="133">
        <f>Ref_table!L362</f>
        <v>57463.583464640265</v>
      </c>
      <c r="M29" s="690">
        <f>Ref_table!M362</f>
        <v>0</v>
      </c>
    </row>
    <row r="30" spans="1:13" ht="15">
      <c r="A30" s="72" t="str">
        <f>Ref_table!A363</f>
        <v>h513</v>
      </c>
      <c r="B30" s="111" t="str">
        <f>Ref_table!B363</f>
        <v>Sea</v>
      </c>
      <c r="C30" s="133">
        <f>Ref_table!C363</f>
        <v>13499.73380032721</v>
      </c>
      <c r="D30" s="133">
        <f>Ref_table!D363</f>
        <v>12562.027600654419</v>
      </c>
      <c r="E30" s="133">
        <f>Ref_table!E363</f>
        <v>11624.321400981627</v>
      </c>
      <c r="F30" s="133">
        <f>Ref_table!F363</f>
        <v>10686.615201308836</v>
      </c>
      <c r="G30" s="133">
        <f>Ref_table!G363</f>
        <v>9748.909001636044</v>
      </c>
      <c r="H30" s="133">
        <f>Ref_table!H363</f>
        <v>8811.202801963253</v>
      </c>
      <c r="I30" s="133">
        <f>Ref_table!I363</f>
        <v>7873.496602290461</v>
      </c>
      <c r="J30" s="133">
        <f>Ref_table!J363</f>
        <v>6935.790402617669</v>
      </c>
      <c r="K30" s="133">
        <f>Ref_table!K363</f>
        <v>5998.084202944878</v>
      </c>
      <c r="L30" s="133">
        <f>Ref_table!L363</f>
        <v>5060.378003272087</v>
      </c>
      <c r="M30" s="690">
        <f>Ref_table!M363</f>
        <v>0</v>
      </c>
    </row>
    <row r="31" spans="1:13" ht="15">
      <c r="A31" s="72" t="str">
        <f>Ref_table!A364</f>
        <v>h514</v>
      </c>
      <c r="B31" s="111" t="str">
        <f>Ref_table!B364</f>
        <v>Atmosphere</v>
      </c>
      <c r="C31" s="133">
        <f>Ref_table!C364</f>
        <v>13596361.66728</v>
      </c>
      <c r="D31" s="133">
        <f>Ref_table!D364</f>
        <v>13475651.434559999</v>
      </c>
      <c r="E31" s="133">
        <f>Ref_table!E364</f>
        <v>13354941.201839998</v>
      </c>
      <c r="F31" s="133">
        <f>Ref_table!F364</f>
        <v>13234230.969119998</v>
      </c>
      <c r="G31" s="133">
        <f>Ref_table!G364</f>
        <v>13113520.736399997</v>
      </c>
      <c r="H31" s="133">
        <f>Ref_table!H364</f>
        <v>12992810.503679996</v>
      </c>
      <c r="I31" s="133">
        <f>Ref_table!I364</f>
        <v>12872100.270959996</v>
      </c>
      <c r="J31" s="133">
        <f>Ref_table!J364</f>
        <v>12751390.038239995</v>
      </c>
      <c r="K31" s="133">
        <f>Ref_table!K364</f>
        <v>12630679.805519994</v>
      </c>
      <c r="L31" s="133">
        <f>Ref_table!L364</f>
        <v>12509969.572800001</v>
      </c>
      <c r="M31" s="690">
        <f>Ref_table!M364</f>
        <v>0</v>
      </c>
    </row>
    <row r="32" spans="1:13" ht="16.5" thickBot="1">
      <c r="A32" s="615" t="str">
        <f>Ref_table!A365</f>
        <v>H12</v>
      </c>
      <c r="B32" s="660" t="str">
        <f>Ref_table!B365</f>
        <v>Financial ecosystem assets (in 10^3 EPUE)</v>
      </c>
      <c r="C32" s="410">
        <f>Ref_table!C365</f>
        <v>0</v>
      </c>
      <c r="D32" s="410">
        <f>Ref_table!D365</f>
        <v>0</v>
      </c>
      <c r="E32" s="410">
        <f>Ref_table!E365</f>
        <v>0</v>
      </c>
      <c r="F32" s="410">
        <f>Ref_table!F365</f>
        <v>0</v>
      </c>
      <c r="G32" s="410">
        <f>Ref_table!G365</f>
        <v>0</v>
      </c>
      <c r="H32" s="410">
        <f>Ref_table!H365</f>
        <v>0</v>
      </c>
      <c r="I32" s="410">
        <f>Ref_table!I365</f>
        <v>0</v>
      </c>
      <c r="J32" s="410">
        <f>Ref_table!J365</f>
        <v>0</v>
      </c>
      <c r="K32" s="415">
        <f>Ref_table!K365</f>
        <v>0</v>
      </c>
      <c r="L32" s="1029">
        <f>Ref_table!L365</f>
        <v>0</v>
      </c>
      <c r="M32" s="662">
        <f>Ref_table!M365</f>
        <v>0</v>
      </c>
    </row>
    <row r="33" spans="1:13" ht="18.75">
      <c r="A33" s="1050" t="str">
        <f>Ref_table!A366</f>
        <v>Physical Liabilities [in EPUE]</v>
      </c>
      <c r="B33" s="1051">
        <f>Ref_table!B366</f>
        <v>0</v>
      </c>
      <c r="C33" s="1051">
        <f>Ref_table!C366</f>
        <v>0</v>
      </c>
      <c r="D33" s="1051">
        <f>Ref_table!D366</f>
        <v>0</v>
      </c>
      <c r="E33" s="1051">
        <f>Ref_table!E366</f>
        <v>0</v>
      </c>
      <c r="F33" s="1051">
        <f>Ref_table!F366</f>
        <v>0</v>
      </c>
      <c r="G33" s="1051">
        <f>Ref_table!G366</f>
        <v>0</v>
      </c>
      <c r="H33" s="1051">
        <f>Ref_table!H366</f>
        <v>0</v>
      </c>
      <c r="I33" s="1051">
        <f>Ref_table!I366</f>
        <v>0</v>
      </c>
      <c r="J33" s="1051">
        <f>Ref_table!J366</f>
        <v>0</v>
      </c>
      <c r="K33" s="1051">
        <f>Ref_table!K366</f>
        <v>0</v>
      </c>
      <c r="L33" s="1051">
        <f>Ref_table!L366</f>
        <v>0</v>
      </c>
      <c r="M33" s="1052">
        <f>Ref_table!M366</f>
        <v>0</v>
      </c>
    </row>
    <row r="34" spans="1:13" ht="15.75">
      <c r="A34" s="615" t="str">
        <f>Ref_table!A367</f>
        <v>H6</v>
      </c>
      <c r="B34" s="600" t="str">
        <f>Ref_table!B367</f>
        <v>Opening Balance Sheet Total Ecosystem Potential, in 10^3 EPUE [bottomline F5 = F1]</v>
      </c>
      <c r="C34" s="412">
        <f>Ref_table!C367</f>
        <v>15703846.32803119</v>
      </c>
      <c r="D34" s="412">
        <f>Ref_table!D367</f>
        <v>15471505.836725231</v>
      </c>
      <c r="E34" s="412">
        <f>Ref_table!E367</f>
        <v>14413173.613353493</v>
      </c>
      <c r="F34" s="412">
        <f>Ref_table!F367</f>
        <v>13541063.396962697</v>
      </c>
      <c r="G34" s="412">
        <f>Ref_table!G367</f>
        <v>12103522.641403489</v>
      </c>
      <c r="H34" s="412">
        <f>Ref_table!H367</f>
        <v>13995924.159295188</v>
      </c>
      <c r="I34" s="412">
        <f>Ref_table!I367</f>
        <v>13662499.894585487</v>
      </c>
      <c r="J34" s="412">
        <f>Ref_table!J367</f>
        <v>30201745.29536674</v>
      </c>
      <c r="K34" s="412">
        <f>Ref_table!K367</f>
        <v>23463915.165558647</v>
      </c>
      <c r="L34" s="412">
        <f>Ref_table!L367</f>
        <v>22459712.005437307</v>
      </c>
      <c r="M34" s="411">
        <f>Ref_table!M367</f>
        <v>21655914.194172878</v>
      </c>
    </row>
    <row r="35" spans="1:13" ht="15.75">
      <c r="A35" s="615" t="str">
        <f>Ref_table!A368</f>
        <v>H7</v>
      </c>
      <c r="B35" s="600" t="str">
        <f>Ref_table!B368</f>
        <v>Ecosystem restoration targets (recovery from historical damages, compliance to conventions/ regulations)</v>
      </c>
      <c r="C35" s="692">
        <f>Ref_table!C368</f>
        <v>3000001</v>
      </c>
      <c r="D35" s="692">
        <f>Ref_table!D368</f>
        <v>2794249.7863839995</v>
      </c>
      <c r="E35" s="692">
        <f>Ref_table!E368</f>
        <v>2692626.1795759983</v>
      </c>
      <c r="F35" s="692">
        <f>Ref_table!F368</f>
        <v>2591595.3227679976</v>
      </c>
      <c r="G35" s="692">
        <f>Ref_table!G368</f>
        <v>2445418.6081251977</v>
      </c>
      <c r="H35" s="692">
        <f>Ref_table!H368</f>
        <v>2322668.7091185465</v>
      </c>
      <c r="I35" s="692">
        <f>Ref_table!I368</f>
        <v>2200469.132865802</v>
      </c>
      <c r="J35" s="692">
        <f>Ref_table!J368</f>
        <v>17169050.616610125</v>
      </c>
      <c r="K35" s="692">
        <f>Ref_table!K368</f>
        <v>9658537.721570365</v>
      </c>
      <c r="L35" s="692">
        <f>Ref_table!L368</f>
        <v>9615782.539182346</v>
      </c>
      <c r="M35" s="693">
        <f>Ref_table!M368</f>
        <v>9573524.676802969</v>
      </c>
    </row>
    <row r="36" spans="1:13" ht="15">
      <c r="A36" s="125" t="str">
        <f>Ref_table!A369</f>
        <v>h71</v>
      </c>
      <c r="B36" s="36" t="str">
        <f>Ref_table!B369</f>
        <v>National targets</v>
      </c>
      <c r="C36" s="691">
        <f>Ref_table!C369</f>
        <v>1000000</v>
      </c>
      <c r="D36" s="691">
        <f>Ref_table!D369</f>
        <v>922125.3931919995</v>
      </c>
      <c r="E36" s="691">
        <f>Ref_table!E369</f>
        <v>844250.786383999</v>
      </c>
      <c r="F36" s="691">
        <f>Ref_table!F369</f>
        <v>766376.1795759986</v>
      </c>
      <c r="G36" s="691">
        <f>Ref_table!G369</f>
        <v>688501.5727679981</v>
      </c>
      <c r="H36" s="691">
        <f>Ref_table!H369</f>
        <v>610626.9659599976</v>
      </c>
      <c r="I36" s="691">
        <f>Ref_table!I369</f>
        <v>532752.3591519971</v>
      </c>
      <c r="J36" s="691">
        <f>Ref_table!J369</f>
        <v>8000000</v>
      </c>
      <c r="K36" s="691">
        <f>Ref_table!K369</f>
        <v>8000000</v>
      </c>
      <c r="L36" s="691">
        <f>Ref_table!L369</f>
        <v>8000000</v>
      </c>
      <c r="M36" s="699">
        <f>Ref_table!M369</f>
        <v>8000000</v>
      </c>
    </row>
    <row r="37" spans="1:13" ht="15">
      <c r="A37" s="125" t="str">
        <f>Ref_table!A370</f>
        <v>h72</v>
      </c>
      <c r="B37" s="36" t="str">
        <f>Ref_table!B370</f>
        <v>International targets</v>
      </c>
      <c r="C37" s="691">
        <f>Ref_table!C370</f>
        <v>1000000</v>
      </c>
      <c r="D37" s="691">
        <f>Ref_table!D370</f>
        <v>1000000</v>
      </c>
      <c r="E37" s="691">
        <f>Ref_table!E370</f>
        <v>1000000</v>
      </c>
      <c r="F37" s="691">
        <f>Ref_table!F370</f>
        <v>1000000</v>
      </c>
      <c r="G37" s="691">
        <f>Ref_table!G370</f>
        <v>977137.6179575998</v>
      </c>
      <c r="H37" s="691">
        <f>Ref_table!H370</f>
        <v>954275.2359151996</v>
      </c>
      <c r="I37" s="691">
        <f>Ref_table!I370</f>
        <v>931412.8538727994</v>
      </c>
      <c r="J37" s="691">
        <f>Ref_table!J370</f>
        <v>908550.4718303992</v>
      </c>
      <c r="K37" s="691">
        <f>Ref_table!K370</f>
        <v>885688.089787999</v>
      </c>
      <c r="L37" s="691">
        <f>Ref_table!L370</f>
        <v>862825.7077455989</v>
      </c>
      <c r="M37" s="699">
        <f>Ref_table!M370</f>
        <v>839963.3257031987</v>
      </c>
    </row>
    <row r="38" spans="1:13" ht="15">
      <c r="A38" s="125" t="str">
        <f>Ref_table!A371</f>
        <v>h73</v>
      </c>
      <c r="B38" s="36" t="str">
        <f>Ref_table!B371</f>
        <v>Private targets</v>
      </c>
      <c r="C38" s="691">
        <f>Ref_table!C371</f>
        <v>1000000</v>
      </c>
      <c r="D38" s="691">
        <f>Ref_table!D371</f>
        <v>975000</v>
      </c>
      <c r="E38" s="691">
        <f>Ref_table!E371</f>
        <v>950625</v>
      </c>
      <c r="F38" s="691">
        <f>Ref_table!F371</f>
        <v>926859.375</v>
      </c>
      <c r="G38" s="691">
        <f>Ref_table!G371</f>
        <v>903687.890625</v>
      </c>
      <c r="H38" s="691">
        <f>Ref_table!H371</f>
        <v>881095.693359375</v>
      </c>
      <c r="I38" s="691">
        <f>Ref_table!I371</f>
        <v>859068.3010253906</v>
      </c>
      <c r="J38" s="691">
        <f>Ref_table!J371</f>
        <v>837591.5934997558</v>
      </c>
      <c r="K38" s="691">
        <f>Ref_table!K371</f>
        <v>816651.8036622619</v>
      </c>
      <c r="L38" s="691">
        <f>Ref_table!L371</f>
        <v>796235.5085707053</v>
      </c>
      <c r="M38" s="699">
        <f>Ref_table!M371</f>
        <v>776329.6208564376</v>
      </c>
    </row>
    <row r="39" spans="1:13" ht="15">
      <c r="A39" s="490" t="str">
        <f>Ref_table!A372</f>
        <v>h74</v>
      </c>
      <c r="B39" s="875" t="str">
        <f>Ref_table!B372</f>
        <v>Change in ecosystem restoration targets</v>
      </c>
      <c r="C39" s="910">
        <f>Ref_table!C372</f>
        <v>1</v>
      </c>
      <c r="D39" s="910">
        <f>Ref_table!D372</f>
        <v>-102875.60680800024</v>
      </c>
      <c r="E39" s="910">
        <f>Ref_table!E372</f>
        <v>-102249.60680800071</v>
      </c>
      <c r="F39" s="910">
        <f>Ref_table!F372</f>
        <v>-101640.23180800071</v>
      </c>
      <c r="G39" s="910">
        <f>Ref_table!G372</f>
        <v>-123908.47322540032</v>
      </c>
      <c r="H39" s="910">
        <f>Ref_table!H372</f>
        <v>-123329.18611602578</v>
      </c>
      <c r="I39" s="910">
        <f>Ref_table!I372</f>
        <v>-122764.38118438516</v>
      </c>
      <c r="J39" s="910">
        <f>Ref_table!J372</f>
        <v>7422908.551279968</v>
      </c>
      <c r="K39" s="910">
        <f>Ref_table!K372</f>
        <v>-43802.17187989503</v>
      </c>
      <c r="L39" s="910">
        <f>Ref_table!L372</f>
        <v>-43278.677133956924</v>
      </c>
      <c r="M39" s="911">
        <f>Ref_table!M372</f>
        <v>-42768.269756667316</v>
      </c>
    </row>
    <row r="40" spans="1:13" ht="15.75">
      <c r="A40" s="615" t="str">
        <f>Ref_table!A373</f>
        <v>H8</v>
      </c>
      <c r="B40" s="600" t="str">
        <f>Ref_table!B373</f>
        <v>Acquisition of new physical liabilities</v>
      </c>
      <c r="C40" s="692">
        <f>Ref_table!C373</f>
        <v>12781719.93483919</v>
      </c>
      <c r="D40" s="692">
        <f>Ref_table!D373</f>
        <v>12781719.93483919</v>
      </c>
      <c r="E40" s="692">
        <f>Ref_table!E373</f>
        <v>11826008.030203983</v>
      </c>
      <c r="F40" s="692">
        <f>Ref_table!F373</f>
        <v>11055974.103711525</v>
      </c>
      <c r="G40" s="692">
        <f>Ref_table!G373</f>
        <v>11265704.501854135</v>
      </c>
      <c r="H40" s="692">
        <f>Ref_table!H373</f>
        <v>11781965.211327126</v>
      </c>
      <c r="I40" s="692">
        <f>Ref_table!I373</f>
        <v>11571898.069216227</v>
      </c>
      <c r="J40" s="692">
        <f>Ref_table!J373</f>
        <v>13143768.09974806</v>
      </c>
      <c r="K40" s="692">
        <f>Ref_table!K373</f>
        <v>13917705.8815609</v>
      </c>
      <c r="L40" s="692">
        <f>Ref_table!L373</f>
        <v>12957562.182036344</v>
      </c>
      <c r="M40" s="693">
        <f>Ref_table!M373</f>
        <v>12197376.154187799</v>
      </c>
    </row>
    <row r="41" spans="1:13" ht="15.75">
      <c r="A41" s="55" t="str">
        <f>Ref_table!A374</f>
        <v>h81=F9</v>
      </c>
      <c r="B41" s="19" t="str">
        <f>Ref_table!B374</f>
        <v>Territorial Ecosystem Capital Degradation (TECD), in 10^3 EPUE [F9=F8-F10] of t-1</v>
      </c>
      <c r="C41" s="43">
        <f>Ref_table!C374</f>
        <v>182007.59134141565</v>
      </c>
      <c r="D41" s="43">
        <f>Ref_table!D374</f>
        <v>185722.0319810364</v>
      </c>
      <c r="E41" s="43">
        <f>Ref_table!E374</f>
        <v>189512.2775316698</v>
      </c>
      <c r="F41" s="43">
        <f>Ref_table!F374</f>
        <v>193379.8750323161</v>
      </c>
      <c r="G41" s="584">
        <f>Ref_table!G374</f>
        <v>197326.40309420013</v>
      </c>
      <c r="H41" s="43">
        <f>Ref_table!H374</f>
        <v>201272.93115608415</v>
      </c>
      <c r="I41" s="43">
        <f>Ref_table!I374</f>
        <v>205298.38977920584</v>
      </c>
      <c r="J41" s="43">
        <f>Ref_table!J374</f>
        <v>209404.35757478996</v>
      </c>
      <c r="K41" s="43">
        <f>Ref_table!K374</f>
        <v>213592.44472628576</v>
      </c>
      <c r="L41" s="43">
        <f>Ref_table!L374</f>
        <v>217864.29362081148</v>
      </c>
      <c r="M41" s="906">
        <f>Ref_table!M374</f>
        <v>222221.5794932277</v>
      </c>
    </row>
    <row r="42" spans="1:13" ht="15">
      <c r="A42" s="261" t="str">
        <f>Ref_table!A375</f>
        <v>K2</v>
      </c>
      <c r="B42" s="36" t="str">
        <f>Ref_table!B375</f>
        <v>Ecosystem capital degradation in "consumed imports", agriculture &amp; forest, in EPUE</v>
      </c>
      <c r="C42" s="691">
        <f>Ref_table!C375</f>
        <v>4076377.522896339</v>
      </c>
      <c r="D42" s="691">
        <f>Ref_table!D375</f>
        <v>3765974.8817780125</v>
      </c>
      <c r="E42" s="691">
        <f>Ref_table!E375</f>
        <v>3515620.0025876</v>
      </c>
      <c r="F42" s="691">
        <f>Ref_table!F375</f>
        <v>3582222.6733835298</v>
      </c>
      <c r="G42" s="691">
        <f>Ref_table!G375</f>
        <v>3747971.379134182</v>
      </c>
      <c r="H42" s="691">
        <f>Ref_table!H375</f>
        <v>3678731.662313576</v>
      </c>
      <c r="I42" s="691">
        <f>Ref_table!I375</f>
        <v>4185975.4944016887</v>
      </c>
      <c r="J42" s="691">
        <f>Ref_table!J375</f>
        <v>4435038.728348447</v>
      </c>
      <c r="K42" s="691">
        <f>Ref_table!K375</f>
        <v>4123049.0326591367</v>
      </c>
      <c r="L42" s="691">
        <f>Ref_table!L375</f>
        <v>3875724.425477555</v>
      </c>
      <c r="M42" s="699">
        <f>Ref_table!M375</f>
        <v>3719639.7084741103</v>
      </c>
    </row>
    <row r="43" spans="1:13" ht="15">
      <c r="A43" s="261" t="str">
        <f>Ref_table!A376</f>
        <v>K3</v>
      </c>
      <c r="B43" s="36" t="str">
        <f>Ref_table!B376</f>
        <v>Ecosystem capital degradation in "consumed imports", fisheries, in EPUE</v>
      </c>
      <c r="C43" s="691">
        <f>Ref_table!C376</f>
        <v>370579.7748087581</v>
      </c>
      <c r="D43" s="691">
        <f>Ref_table!D376</f>
        <v>342361.3528889102</v>
      </c>
      <c r="E43" s="691">
        <f>Ref_table!E376</f>
        <v>319601.81841705454</v>
      </c>
      <c r="F43" s="691">
        <f>Ref_table!F376</f>
        <v>325656.60667123</v>
      </c>
      <c r="G43" s="691">
        <f>Ref_table!G376</f>
        <v>340724.6708303802</v>
      </c>
      <c r="H43" s="691">
        <f>Ref_table!H376</f>
        <v>334430.151119416</v>
      </c>
      <c r="I43" s="691">
        <f>Ref_table!I376</f>
        <v>380543.2267637899</v>
      </c>
      <c r="J43" s="691">
        <f>Ref_table!J376</f>
        <v>403185.3389407679</v>
      </c>
      <c r="K43" s="691">
        <f>Ref_table!K376</f>
        <v>374822.6393326488</v>
      </c>
      <c r="L43" s="691">
        <f>Ref_table!L376</f>
        <v>352338.5841343232</v>
      </c>
      <c r="M43" s="699">
        <f>Ref_table!M376</f>
        <v>338149.0644067373</v>
      </c>
    </row>
    <row r="44" spans="1:13" ht="15">
      <c r="A44" s="261" t="str">
        <f>Ref_table!A377</f>
        <v>K4</v>
      </c>
      <c r="B44" s="36" t="str">
        <f>Ref_table!B377</f>
        <v>Ecosystem capital degradation in "consumed imports", atmosphere CO2-e potential, in EPUE</v>
      </c>
      <c r="C44" s="691">
        <f>Ref_table!C377</f>
        <v>8152755.045792678</v>
      </c>
      <c r="D44" s="691">
        <f>Ref_table!D377</f>
        <v>7531949.763556025</v>
      </c>
      <c r="E44" s="691">
        <f>Ref_table!E377</f>
        <v>7031240.0051752</v>
      </c>
      <c r="F44" s="691">
        <f>Ref_table!F377</f>
        <v>7164445.3467670595</v>
      </c>
      <c r="G44" s="691">
        <f>Ref_table!G377</f>
        <v>7495942.758268364</v>
      </c>
      <c r="H44" s="691">
        <f>Ref_table!H377</f>
        <v>7357463.324627152</v>
      </c>
      <c r="I44" s="691">
        <f>Ref_table!I377</f>
        <v>8371950.988803377</v>
      </c>
      <c r="J44" s="691">
        <f>Ref_table!J377</f>
        <v>8870077.456696894</v>
      </c>
      <c r="K44" s="691">
        <f>Ref_table!K377</f>
        <v>8246098.065318273</v>
      </c>
      <c r="L44" s="691">
        <f>Ref_table!L377</f>
        <v>7751448.85095511</v>
      </c>
      <c r="M44" s="699">
        <f>Ref_table!M377</f>
        <v>7439279.416948221</v>
      </c>
    </row>
    <row r="45" spans="1:13" ht="15.75">
      <c r="A45" s="615" t="str">
        <f>Ref_table!A378</f>
        <v>H9</v>
      </c>
      <c r="B45" s="600" t="str">
        <f>Ref_table!B378</f>
        <v>Reduction of physical liabilities</v>
      </c>
      <c r="C45" s="692">
        <f>Ref_table!C378</f>
        <v>77874.60680800052</v>
      </c>
      <c r="D45" s="692">
        <f>Ref_table!D378</f>
        <v>104463.88449795972</v>
      </c>
      <c r="E45" s="692">
        <f>Ref_table!E378</f>
        <v>105460.59642648952</v>
      </c>
      <c r="F45" s="692">
        <f>Ref_table!F378</f>
        <v>106506.02951682603</v>
      </c>
      <c r="G45" s="692">
        <f>Ref_table!G378</f>
        <v>1607600.468575843</v>
      </c>
      <c r="H45" s="692">
        <f>Ref_table!H378</f>
        <v>108709.76115048474</v>
      </c>
      <c r="I45" s="692">
        <f>Ref_table!I378</f>
        <v>109867.30749654133</v>
      </c>
      <c r="J45" s="692">
        <f>Ref_table!J378</f>
        <v>111073.42099144286</v>
      </c>
      <c r="K45" s="692">
        <f>Ref_table!K378</f>
        <v>112328.43757261816</v>
      </c>
      <c r="L45" s="692">
        <f>Ref_table!L378</f>
        <v>113632.71578138335</v>
      </c>
      <c r="M45" s="693">
        <f>Ref_table!M378</f>
        <v>114986.63681789098</v>
      </c>
    </row>
    <row r="46" spans="1:13" ht="15">
      <c r="A46" s="142" t="str">
        <f>Ref_table!A379</f>
        <v>h91=f71</v>
      </c>
      <c r="B46" s="37" t="str">
        <f>Ref_table!B379</f>
        <v>Reduction of physical liabilities by ecosystem restoration programmes</v>
      </c>
      <c r="C46" s="38">
        <f>Ref_table!C379</f>
        <v>23362.382042400157</v>
      </c>
      <c r="D46" s="38">
        <f>Ref_table!D379</f>
        <v>23839.165349387917</v>
      </c>
      <c r="E46" s="38">
        <f>Ref_table!E379</f>
        <v>24325.678927946854</v>
      </c>
      <c r="F46" s="38">
        <f>Ref_table!F379</f>
        <v>24822.12135504781</v>
      </c>
      <c r="G46" s="4">
        <f>Ref_table!G379</f>
        <v>25328.69526025287</v>
      </c>
      <c r="H46" s="38">
        <f>Ref_table!H379</f>
        <v>25835.26916545793</v>
      </c>
      <c r="I46" s="38">
        <f>Ref_table!I379</f>
        <v>26351.974548767088</v>
      </c>
      <c r="J46" s="38">
        <f>Ref_table!J379</f>
        <v>26879.01403974243</v>
      </c>
      <c r="K46" s="38">
        <f>Ref_table!K379</f>
        <v>27416.59432053728</v>
      </c>
      <c r="L46" s="38">
        <f>Ref_table!L379</f>
        <v>27964.926206948025</v>
      </c>
      <c r="M46" s="873">
        <f>Ref_table!M379</f>
        <v>28524.224731086986</v>
      </c>
    </row>
    <row r="47" spans="1:13" ht="15">
      <c r="A47" s="907" t="str">
        <f>Ref_table!A380</f>
        <v>h92=f72</v>
      </c>
      <c r="B47" s="908" t="str">
        <f>Ref_table!B380</f>
        <v>Ecosystem spontaneous natural improvement, in 10^3 EPUE </v>
      </c>
      <c r="C47" s="909">
        <f>Ref_table!C380</f>
        <v>54512.22476560037</v>
      </c>
      <c r="D47" s="909">
        <f>Ref_table!D380</f>
        <v>55624.71914857181</v>
      </c>
      <c r="E47" s="909">
        <f>Ref_table!E380</f>
        <v>56759.91749854266</v>
      </c>
      <c r="F47" s="909">
        <f>Ref_table!F380</f>
        <v>57918.28316177822</v>
      </c>
      <c r="G47" s="909">
        <f>Ref_table!G380</f>
        <v>59100.28894059002</v>
      </c>
      <c r="H47" s="909">
        <f>Ref_table!H380</f>
        <v>60282.29471940182</v>
      </c>
      <c r="I47" s="909">
        <f>Ref_table!I380</f>
        <v>61487.940613789855</v>
      </c>
      <c r="J47" s="909">
        <f>Ref_table!J380</f>
        <v>62717.69942606565</v>
      </c>
      <c r="K47" s="909">
        <f>Ref_table!K380</f>
        <v>63972.05341458697</v>
      </c>
      <c r="L47" s="909">
        <f>Ref_table!L380</f>
        <v>65251.494482878705</v>
      </c>
      <c r="M47" s="912">
        <f>Ref_table!M380</f>
        <v>66556.52437253628</v>
      </c>
    </row>
    <row r="48" spans="1:13" ht="15">
      <c r="A48" s="125" t="str">
        <f>Ref_table!A381</f>
        <v>h93</v>
      </c>
      <c r="B48" s="34" t="str">
        <f>Ref_table!B381</f>
        <v>Reduction of physical liabilities by acquisition of EPUE (mitigation/ compensation)</v>
      </c>
      <c r="C48" s="92">
        <f>Ref_table!C381</f>
        <v>0</v>
      </c>
      <c r="D48" s="4">
        <f>Ref_table!D381</f>
        <v>25000</v>
      </c>
      <c r="E48" s="4">
        <f>Ref_table!E381</f>
        <v>24375</v>
      </c>
      <c r="F48" s="4">
        <f>Ref_table!F381</f>
        <v>23765.625</v>
      </c>
      <c r="G48" s="4">
        <f>Ref_table!G381</f>
        <v>23171.484375</v>
      </c>
      <c r="H48" s="4">
        <f>Ref_table!H381</f>
        <v>22592.197265625</v>
      </c>
      <c r="I48" s="4">
        <f>Ref_table!I381</f>
        <v>22027.392333984375</v>
      </c>
      <c r="J48" s="4">
        <f>Ref_table!J381</f>
        <v>21476.70752563479</v>
      </c>
      <c r="K48" s="4">
        <f>Ref_table!K381</f>
        <v>20939.78983749391</v>
      </c>
      <c r="L48" s="4">
        <f>Ref_table!L381</f>
        <v>20416.295091556618</v>
      </c>
      <c r="M48" s="497">
        <f>Ref_table!M381</f>
        <v>19905.88771426771</v>
      </c>
    </row>
    <row r="49" spans="1:13" ht="15">
      <c r="A49" s="125" t="str">
        <f>Ref_table!A382</f>
        <v>h94</v>
      </c>
      <c r="B49" s="34" t="str">
        <f>Ref_table!B382</f>
        <v>Reduction of physical liabilities by swaps and debts consolidation</v>
      </c>
      <c r="C49" s="92">
        <f>Ref_table!C382</f>
        <v>0</v>
      </c>
      <c r="D49" s="92">
        <f>Ref_table!D382</f>
        <v>0</v>
      </c>
      <c r="E49" s="92">
        <f>Ref_table!E382</f>
        <v>0</v>
      </c>
      <c r="F49" s="92">
        <f>Ref_table!F382</f>
        <v>0</v>
      </c>
      <c r="G49" s="92">
        <f>Ref_table!G382</f>
        <v>1500000</v>
      </c>
      <c r="H49" s="92">
        <f>Ref_table!H382</f>
        <v>0</v>
      </c>
      <c r="I49" s="31">
        <f>Ref_table!I382</f>
        <v>0</v>
      </c>
      <c r="J49" s="92">
        <f>Ref_table!J382</f>
        <v>0</v>
      </c>
      <c r="K49" s="31">
        <f>Ref_table!K382</f>
        <v>0</v>
      </c>
      <c r="L49" s="92">
        <f>Ref_table!L382</f>
        <v>0</v>
      </c>
      <c r="M49" s="667">
        <f>Ref_table!M382</f>
        <v>0</v>
      </c>
    </row>
    <row r="50" spans="1:13" ht="15.75">
      <c r="A50" s="849" t="str">
        <f>Ref_table!A383</f>
        <v>H10</v>
      </c>
      <c r="B50" s="947" t="str">
        <f>Ref_table!B383</f>
        <v>Net change in physical liabilities (=h74+H8-H9)</v>
      </c>
      <c r="C50" s="948">
        <f>Ref_table!C383</f>
        <v>12703846.32803119</v>
      </c>
      <c r="D50" s="948">
        <f>Ref_table!D383</f>
        <v>12574380.44353323</v>
      </c>
      <c r="E50" s="948">
        <f>Ref_table!E383</f>
        <v>11618297.826969493</v>
      </c>
      <c r="F50" s="948">
        <f>Ref_table!F383</f>
        <v>10847827.842386698</v>
      </c>
      <c r="G50" s="948">
        <f>Ref_table!G383</f>
        <v>9534195.560052892</v>
      </c>
      <c r="H50" s="948">
        <f>Ref_table!H383</f>
        <v>11549926.264060615</v>
      </c>
      <c r="I50" s="948">
        <f>Ref_table!I383</f>
        <v>11339266.380535299</v>
      </c>
      <c r="J50" s="948">
        <f>Ref_table!J383</f>
        <v>20455603.230036587</v>
      </c>
      <c r="K50" s="948">
        <f>Ref_table!K383</f>
        <v>13761575.272108385</v>
      </c>
      <c r="L50" s="948">
        <f>Ref_table!L383</f>
        <v>12800650.789121004</v>
      </c>
      <c r="M50" s="949">
        <f>Ref_table!M383</f>
        <v>12039621.24761324</v>
      </c>
    </row>
    <row r="51" spans="1:13" ht="16.5" thickBot="1">
      <c r="A51" s="700" t="str">
        <f>Ref_table!A384</f>
        <v>H11</v>
      </c>
      <c r="B51" s="701" t="str">
        <f>Ref_table!B384</f>
        <v>Closing Balance Sheet Total Ecosystem Potential, in 10^3 EPUE </v>
      </c>
      <c r="C51" s="702">
        <f>Ref_table!C384</f>
        <v>28407692.65606238</v>
      </c>
      <c r="D51" s="702">
        <f>Ref_table!D384</f>
        <v>28045886.28025846</v>
      </c>
      <c r="E51" s="702">
        <f>Ref_table!E384</f>
        <v>26031471.440322988</v>
      </c>
      <c r="F51" s="702">
        <f>Ref_table!F384</f>
        <v>24388891.239349395</v>
      </c>
      <c r="G51" s="702">
        <f>Ref_table!G384</f>
        <v>21637718.201456383</v>
      </c>
      <c r="H51" s="702">
        <f>Ref_table!H384</f>
        <v>25545850.423355803</v>
      </c>
      <c r="I51" s="702">
        <f>Ref_table!I384</f>
        <v>25001766.275120787</v>
      </c>
      <c r="J51" s="702">
        <f>Ref_table!J384</f>
        <v>50657348.52540333</v>
      </c>
      <c r="K51" s="702">
        <f>Ref_table!K384</f>
        <v>37225490.437667035</v>
      </c>
      <c r="L51" s="702">
        <f>Ref_table!L384</f>
        <v>35260362.79455831</v>
      </c>
      <c r="M51" s="703">
        <f>Ref_table!M384</f>
        <v>33695535.44178612</v>
      </c>
    </row>
    <row r="52" ht="15">
      <c r="A52" s="93"/>
    </row>
    <row r="53" ht="15">
      <c r="A53" s="93"/>
    </row>
  </sheetData>
  <sheetProtection/>
  <mergeCells count="5">
    <mergeCell ref="A24:B24"/>
    <mergeCell ref="A33:M33"/>
    <mergeCell ref="A3:B3"/>
    <mergeCell ref="A4:M4"/>
    <mergeCell ref="A12:M1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22"/>
  <sheetViews>
    <sheetView showZeros="0" zoomScale="60" zoomScaleNormal="60" zoomScalePageLayoutView="0" workbookViewId="0" topLeftCell="A1">
      <selection activeCell="I9" sqref="I9:J9"/>
    </sheetView>
  </sheetViews>
  <sheetFormatPr defaultColWidth="9.140625" defaultRowHeight="15"/>
  <cols>
    <col min="1" max="1" width="15.8515625" style="0" customWidth="1"/>
    <col min="2" max="2" width="99.7109375" style="0" customWidth="1"/>
    <col min="3" max="3" width="12.421875" style="0" customWidth="1"/>
    <col min="4" max="4" width="13.7109375" style="0" customWidth="1"/>
    <col min="5" max="5" width="14.8515625" style="0" customWidth="1"/>
    <col min="6" max="6" width="11.7109375" style="0" customWidth="1"/>
    <col min="7" max="7" width="13.8515625" style="0" customWidth="1"/>
    <col min="8" max="9" width="12.57421875" style="0" customWidth="1"/>
    <col min="10" max="10" width="14.140625" style="0" customWidth="1"/>
    <col min="11" max="11" width="15.00390625" style="0" customWidth="1"/>
    <col min="12" max="12" width="12.00390625" style="0" customWidth="1"/>
    <col min="13" max="13" width="14.140625" style="0" customWidth="1"/>
    <col min="14" max="14" width="12.00390625" style="0" customWidth="1"/>
    <col min="15" max="15" width="12.7109375" style="0" customWidth="1"/>
    <col min="16" max="16" width="17.7109375" style="0" customWidth="1"/>
  </cols>
  <sheetData>
    <row r="1" ht="15">
      <c r="A1" t="str">
        <f>'Table H - Physical Balance'!A1</f>
        <v>SECA - Simplified Ecosystem Capital Accounts</v>
      </c>
    </row>
    <row r="2" ht="15.75" thickBot="1">
      <c r="A2" s="93" t="str">
        <f>'Table H - Physical Balance'!A2</f>
        <v>Draft Tables and Mock-up</v>
      </c>
    </row>
    <row r="3" spans="1:19" ht="90.75" thickBot="1">
      <c r="A3" s="1036" t="str">
        <f>Ref_table!A386</f>
        <v>[I] Estimation of unit costs of ecosystem capital restoration by stress factors</v>
      </c>
      <c r="B3" s="1037">
        <f>Ref_table!B386</f>
        <v>0</v>
      </c>
      <c r="C3" s="956" t="str">
        <f>Ref_table!C386</f>
        <v>Cost of restoration €/ha</v>
      </c>
      <c r="D3" s="104" t="str">
        <f>Ref_table!D386</f>
        <v>Cost of restoration     €/km^2</v>
      </c>
      <c r="E3" s="104" t="str">
        <f>Ref_table!E386</f>
        <v>Cost of restoration/abatment programme €</v>
      </c>
      <c r="F3" s="104" t="str">
        <f>Ref_table!F386</f>
        <v>Gains in TEPE by restoration of 1 km^2 </v>
      </c>
      <c r="G3" s="362" t="str">
        <f>Ref_table!G386</f>
        <v>Unit restoration cost, value in €/TEPE</v>
      </c>
      <c r="H3" s="93"/>
      <c r="I3" s="1077" t="str">
        <f>Ref_table!I386</f>
        <v>Comments</v>
      </c>
      <c r="J3" s="1078"/>
      <c r="K3" s="1078"/>
      <c r="L3" s="1078"/>
      <c r="M3" s="1078"/>
      <c r="N3" s="1078"/>
      <c r="O3" s="1078"/>
      <c r="P3" s="1079"/>
      <c r="Q3" s="93"/>
      <c r="R3" s="93"/>
      <c r="S3" s="93"/>
    </row>
    <row r="4" spans="1:19" ht="15">
      <c r="A4" s="985" t="str">
        <f>Ref_table!A387</f>
        <v>f91 &amp; j11</v>
      </c>
      <c r="B4" s="287" t="str">
        <f>Ref_table!B387</f>
        <v>Effect of land cover change</v>
      </c>
      <c r="C4" s="489"/>
      <c r="D4" s="489"/>
      <c r="E4" s="489"/>
      <c r="F4" s="489"/>
      <c r="G4" s="188"/>
      <c r="H4" s="98"/>
      <c r="I4" s="983"/>
      <c r="J4" s="98"/>
      <c r="K4" s="98"/>
      <c r="L4" s="98"/>
      <c r="M4" s="98"/>
      <c r="N4" s="98"/>
      <c r="O4" s="98"/>
      <c r="P4" s="984"/>
      <c r="Q4" s="93"/>
      <c r="R4" s="93"/>
      <c r="S4" s="93"/>
    </row>
    <row r="5" spans="1:19" ht="15">
      <c r="A5" s="428" t="str">
        <f>Ref_table!A388</f>
        <v>f911 &amp; j111</v>
      </c>
      <c r="B5" s="961" t="str">
        <f>Ref_table!B388</f>
        <v>Urban and infrastructures development over agriculture</v>
      </c>
      <c r="C5" s="957">
        <f>Ref_table!C388</f>
        <v>0</v>
      </c>
      <c r="D5" s="103">
        <f>Ref_table!D388</f>
        <v>112000</v>
      </c>
      <c r="E5" s="27">
        <f>Ref_table!E388</f>
        <v>0</v>
      </c>
      <c r="F5" s="757">
        <f>Ref_table!F388</f>
        <v>10</v>
      </c>
      <c r="G5" s="363">
        <f>Ref_table!G388</f>
        <v>11200</v>
      </c>
      <c r="H5" s="93"/>
      <c r="I5" s="1033" t="str">
        <f>Ref_table!I388</f>
        <v>French yields, cereals, 70 qtx/ha (700 t/km^2), 160€/t</v>
      </c>
      <c r="J5" s="1034"/>
      <c r="K5" s="1034"/>
      <c r="L5" s="1034"/>
      <c r="M5" s="1034"/>
      <c r="N5" s="1034"/>
      <c r="O5" s="1034"/>
      <c r="P5" s="1035"/>
      <c r="Q5" s="93"/>
      <c r="R5" s="93"/>
      <c r="S5" s="93"/>
    </row>
    <row r="6" spans="1:19" ht="15">
      <c r="A6" s="428" t="str">
        <f>Ref_table!A389</f>
        <v>f912 &amp; j112</v>
      </c>
      <c r="B6" s="961" t="str">
        <f>Ref_table!B389</f>
        <v>Conversion of pasture/grassland to cropland ==&gt; set aside, loss of crop revenue</v>
      </c>
      <c r="C6" s="957">
        <f>Ref_table!C389</f>
        <v>0</v>
      </c>
      <c r="D6" s="103">
        <f>Ref_table!D389</f>
        <v>112000</v>
      </c>
      <c r="E6" s="27">
        <f>Ref_table!E389</f>
        <v>0</v>
      </c>
      <c r="F6" s="757">
        <f>Ref_table!F389</f>
        <v>15</v>
      </c>
      <c r="G6" s="172">
        <f>Ref_table!G389</f>
        <v>7466.666666666667</v>
      </c>
      <c r="H6" s="93"/>
      <c r="I6" s="1033" t="str">
        <f>Ref_table!I389</f>
        <v>French yields, cereals, 70 qtx/ha (700 t/km^2), 160€/t</v>
      </c>
      <c r="J6" s="1034"/>
      <c r="K6" s="1034"/>
      <c r="L6" s="1034"/>
      <c r="M6" s="1034"/>
      <c r="N6" s="1034"/>
      <c r="O6" s="1034"/>
      <c r="P6" s="1035"/>
      <c r="Q6" s="93"/>
      <c r="R6" s="93"/>
      <c r="S6" s="93"/>
    </row>
    <row r="7" spans="1:19" ht="15">
      <c r="A7" s="428" t="str">
        <f>Ref_table!A390</f>
        <v>f913 &amp; j113</v>
      </c>
      <c r="B7" s="961" t="str">
        <f>Ref_table!B390</f>
        <v>Deforestation (forest land uptake by agriculture or urban sprawl) ==&gt; reforestation</v>
      </c>
      <c r="C7" s="957">
        <f>Ref_table!C390</f>
        <v>1200</v>
      </c>
      <c r="D7" s="103">
        <f>Ref_table!D390</f>
        <v>120000</v>
      </c>
      <c r="E7" s="27">
        <f>Ref_table!E390</f>
        <v>0</v>
      </c>
      <c r="F7" s="757">
        <f>Ref_table!F390</f>
        <v>5</v>
      </c>
      <c r="G7" s="363">
        <f>Ref_table!G390</f>
        <v>24000</v>
      </c>
      <c r="H7" s="93"/>
      <c r="I7" s="1033" t="str">
        <f>Ref_table!I390</f>
        <v>Mean cost from American forest report</v>
      </c>
      <c r="J7" s="1034"/>
      <c r="K7" s="1034"/>
      <c r="L7" s="1034"/>
      <c r="M7" s="1034"/>
      <c r="N7" s="1034"/>
      <c r="O7" s="1034"/>
      <c r="P7" s="1035"/>
      <c r="Q7" s="93"/>
      <c r="R7" s="93"/>
      <c r="S7" s="93"/>
    </row>
    <row r="8" spans="1:19" ht="15">
      <c r="A8" s="428" t="str">
        <f>Ref_table!A391</f>
        <v>f914 &amp; j114</v>
      </c>
      <c r="B8" s="961" t="str">
        <f>Ref_table!B391</f>
        <v>Other shift to more artificial or intensive land cover type ==&gt; compensation</v>
      </c>
      <c r="C8" s="957">
        <f>Ref_table!C391</f>
        <v>0</v>
      </c>
      <c r="D8" s="957">
        <f>Ref_table!D391</f>
        <v>0</v>
      </c>
      <c r="E8" s="958">
        <f>Ref_table!E391</f>
        <v>0</v>
      </c>
      <c r="F8" s="43">
        <f>Ref_table!F391</f>
        <v>0</v>
      </c>
      <c r="G8" s="986">
        <f>Ref_table!G391</f>
        <v>0</v>
      </c>
      <c r="H8" s="93"/>
      <c r="I8" s="951"/>
      <c r="J8" s="950"/>
      <c r="K8" s="950"/>
      <c r="L8" s="950"/>
      <c r="M8" s="950"/>
      <c r="N8" s="950"/>
      <c r="O8" s="950"/>
      <c r="P8" s="952"/>
      <c r="Q8" s="93"/>
      <c r="R8" s="93"/>
      <c r="S8" s="93"/>
    </row>
    <row r="9" spans="1:19" ht="15">
      <c r="A9" s="985" t="str">
        <f>Ref_table!A392</f>
        <v>f92 &amp; j12</v>
      </c>
      <c r="B9" s="287" t="str">
        <f>Ref_table!B392</f>
        <v>Restructuring/destructuring of landscapes and rivers ==&gt; plantation of hedgerows</v>
      </c>
      <c r="C9" s="489">
        <f>Ref_table!C392</f>
        <v>3000</v>
      </c>
      <c r="D9" s="489">
        <f>Ref_table!D392</f>
        <v>300000</v>
      </c>
      <c r="E9" s="489">
        <f>Ref_table!E392</f>
        <v>0</v>
      </c>
      <c r="F9" s="489">
        <f>Ref_table!F392</f>
        <v>10</v>
      </c>
      <c r="G9" s="188">
        <f>Ref_table!G392</f>
        <v>30000</v>
      </c>
      <c r="H9" s="98"/>
      <c r="I9" s="1133" t="str">
        <f>Ref_table!I392</f>
        <v>15 € by linear metre of hedgerow, 200 m by ha (UK source)</v>
      </c>
      <c r="J9" s="1134"/>
      <c r="K9" s="98"/>
      <c r="L9" s="98"/>
      <c r="M9" s="98"/>
      <c r="N9" s="98"/>
      <c r="O9" s="98"/>
      <c r="P9" s="984"/>
      <c r="Q9" s="93"/>
      <c r="R9" s="93"/>
      <c r="S9" s="93"/>
    </row>
    <row r="10" spans="1:19" ht="15">
      <c r="A10" s="985" t="str">
        <f>Ref_table!A393</f>
        <v>f93 &amp; j13</v>
      </c>
      <c r="B10" s="994" t="str">
        <f>Ref_table!B393</f>
        <v>Overexploitation of biological resources</v>
      </c>
      <c r="C10" s="489"/>
      <c r="D10" s="489"/>
      <c r="E10" s="489"/>
      <c r="F10" s="132"/>
      <c r="G10" s="188"/>
      <c r="H10" s="98"/>
      <c r="I10" s="1033"/>
      <c r="J10" s="1034"/>
      <c r="K10" s="1034"/>
      <c r="L10" s="1034"/>
      <c r="M10" s="1034"/>
      <c r="N10" s="1034"/>
      <c r="O10" s="1034"/>
      <c r="P10" s="1035"/>
      <c r="Q10" s="93"/>
      <c r="R10" s="93"/>
      <c r="S10" s="93"/>
    </row>
    <row r="11" spans="1:19" ht="15">
      <c r="A11" s="428" t="str">
        <f>Ref_table!A394</f>
        <v>f931 &amp; j131</v>
      </c>
      <c r="B11" s="961" t="str">
        <f>Ref_table!B394</f>
        <v>Agriculture overharvesting and over grazing ==&gt; yield abatement, organic fertilisation, change of crop</v>
      </c>
      <c r="C11" s="957">
        <f>Ref_table!C394</f>
        <v>0</v>
      </c>
      <c r="D11" s="103">
        <f>Ref_table!D394</f>
        <v>11200</v>
      </c>
      <c r="E11" s="27">
        <f>Ref_table!E394</f>
        <v>0</v>
      </c>
      <c r="F11" s="757">
        <f>Ref_table!F394</f>
        <v>5</v>
      </c>
      <c r="G11" s="363">
        <f>Ref_table!G394</f>
        <v>2240</v>
      </c>
      <c r="H11" s="93"/>
      <c r="I11" s="1033" t="str">
        <f>Ref_table!I394</f>
        <v>10% French yields, cereals, 70 qtx/ha (700 t/km^2), 160€/t</v>
      </c>
      <c r="J11" s="1034"/>
      <c r="K11" s="1034"/>
      <c r="L11" s="1034"/>
      <c r="M11" s="1034"/>
      <c r="N11" s="1034"/>
      <c r="O11" s="1034"/>
      <c r="P11" s="1035"/>
      <c r="Q11" s="93"/>
      <c r="R11" s="93"/>
      <c r="S11" s="93"/>
    </row>
    <row r="12" spans="1:19" ht="15">
      <c r="A12" s="428" t="str">
        <f>Ref_table!A395</f>
        <v>f932 &amp; j132</v>
      </c>
      <c r="B12" s="961" t="str">
        <f>Ref_table!B395</f>
        <v>Clearing of forest beyond mean NEP ==&gt; yield abatement</v>
      </c>
      <c r="C12" s="957">
        <f>Ref_table!C395</f>
        <v>750</v>
      </c>
      <c r="D12" s="103">
        <f>Ref_table!D395</f>
        <v>75000</v>
      </c>
      <c r="E12" s="27">
        <f>Ref_table!E395</f>
        <v>0</v>
      </c>
      <c r="F12" s="757">
        <f>Ref_table!F395</f>
        <v>5</v>
      </c>
      <c r="G12" s="363">
        <f>Ref_table!G395</f>
        <v>15000</v>
      </c>
      <c r="H12" s="93"/>
      <c r="I12" s="1033" t="str">
        <f>Ref_table!I395</f>
        <v>Abatment of 5 m3/ha, 1 m3 = 150€</v>
      </c>
      <c r="J12" s="1034"/>
      <c r="K12" s="1034"/>
      <c r="L12" s="1034"/>
      <c r="M12" s="1034"/>
      <c r="N12" s="1034"/>
      <c r="O12" s="1034"/>
      <c r="P12" s="1035"/>
      <c r="Q12" s="93"/>
      <c r="R12" s="93"/>
      <c r="S12" s="93"/>
    </row>
    <row r="13" spans="1:19" ht="15">
      <c r="A13" s="428" t="str">
        <f>Ref_table!A396</f>
        <v>f933 &amp; j133</v>
      </c>
      <c r="B13" s="961" t="str">
        <f>Ref_table!B396</f>
        <v>Overfishing ==&gt; yield abatement</v>
      </c>
      <c r="C13" s="309">
        <f>Ref_table!C396</f>
        <v>0</v>
      </c>
      <c r="D13" s="27">
        <f>Ref_table!D396</f>
        <v>0</v>
      </c>
      <c r="E13" s="129">
        <f>Ref_table!E396</f>
        <v>1400000000</v>
      </c>
      <c r="F13" s="23">
        <f>Ref_table!F396</f>
        <v>1</v>
      </c>
      <c r="G13" s="172">
        <f>Ref_table!G396</f>
        <v>796.2693079423093</v>
      </c>
      <c r="H13" s="93"/>
      <c r="I13" s="1033" t="str">
        <f>Ref_table!I396</f>
        <v>20% reduction landing, from 5000000t at 1400€/t</v>
      </c>
      <c r="J13" s="1034"/>
      <c r="K13" s="1034"/>
      <c r="L13" s="1034"/>
      <c r="M13" s="1034"/>
      <c r="N13" s="1034"/>
      <c r="O13" s="1034"/>
      <c r="P13" s="1035"/>
      <c r="Q13" s="93"/>
      <c r="R13" s="93"/>
      <c r="S13" s="93"/>
    </row>
    <row r="14" spans="1:19" ht="15">
      <c r="A14" s="428" t="str">
        <f>Ref_table!A397</f>
        <v>f934 &amp; j134</v>
      </c>
      <c r="B14" s="961" t="str">
        <f>Ref_table!B397</f>
        <v>Overhunting</v>
      </c>
      <c r="C14" s="309">
        <f>Ref_table!C397</f>
        <v>0</v>
      </c>
      <c r="D14" s="27">
        <f>Ref_table!D397</f>
        <v>0</v>
      </c>
      <c r="E14" s="129">
        <f>Ref_table!E397</f>
        <v>0</v>
      </c>
      <c r="F14" s="23">
        <f>Ref_table!F397</f>
        <v>0</v>
      </c>
      <c r="G14" s="172">
        <f>Ref_table!G397</f>
        <v>0</v>
      </c>
      <c r="H14" s="93"/>
      <c r="I14" s="1033"/>
      <c r="J14" s="1034"/>
      <c r="K14" s="1034"/>
      <c r="L14" s="1034"/>
      <c r="M14" s="1034"/>
      <c r="N14" s="1034"/>
      <c r="O14" s="1034"/>
      <c r="P14" s="1035"/>
      <c r="Q14" s="93"/>
      <c r="R14" s="93"/>
      <c r="S14" s="93"/>
    </row>
    <row r="15" spans="1:19" ht="15">
      <c r="A15" s="985" t="str">
        <f>Ref_table!A398</f>
        <v>f94 &amp; f14</v>
      </c>
      <c r="B15" s="994" t="str">
        <f>Ref_table!B398</f>
        <v>Waste disposal, pollution ==&gt; yield abatement</v>
      </c>
      <c r="C15" s="489"/>
      <c r="D15" s="489"/>
      <c r="E15" s="489"/>
      <c r="F15" s="132"/>
      <c r="G15" s="188"/>
      <c r="H15" s="98"/>
      <c r="I15" s="1033"/>
      <c r="J15" s="1034"/>
      <c r="K15" s="1034"/>
      <c r="L15" s="1034"/>
      <c r="M15" s="1034"/>
      <c r="N15" s="1034"/>
      <c r="O15" s="1034"/>
      <c r="P15" s="1035"/>
      <c r="Q15" s="93"/>
      <c r="R15" s="93"/>
      <c r="S15" s="93"/>
    </row>
    <row r="16" spans="1:19" ht="15">
      <c r="A16" s="428" t="str">
        <f>Ref_table!A399</f>
        <v>f941 &amp; j141</v>
      </c>
      <c r="B16" s="961" t="str">
        <f>Ref_table!B399</f>
        <v>Pollution/ Use of chemicals in agriculture, forestry ==&gt; yield abatement less cost of chemicals</v>
      </c>
      <c r="C16" s="957">
        <f>Ref_table!C399</f>
        <v>100</v>
      </c>
      <c r="D16" s="103">
        <f>Ref_table!D399</f>
        <v>10000</v>
      </c>
      <c r="E16" s="27">
        <f>Ref_table!E399</f>
        <v>0</v>
      </c>
      <c r="F16" s="757">
        <f>Ref_table!F399</f>
        <v>5</v>
      </c>
      <c r="G16" s="363">
        <f>Ref_table!G399</f>
        <v>2000</v>
      </c>
      <c r="H16" s="93"/>
      <c r="I16" s="1033" t="str">
        <f>Ref_table!I399</f>
        <v>Similar yield abatment</v>
      </c>
      <c r="J16" s="1034"/>
      <c r="K16" s="1034"/>
      <c r="L16" s="1034"/>
      <c r="M16" s="1034"/>
      <c r="N16" s="1034"/>
      <c r="O16" s="1034"/>
      <c r="P16" s="1035"/>
      <c r="Q16" s="93"/>
      <c r="R16" s="93"/>
      <c r="S16" s="93"/>
    </row>
    <row r="17" spans="1:19" ht="15">
      <c r="A17" s="428" t="str">
        <f>Ref_table!A400</f>
        <v>f943 &amp; j142</v>
      </c>
      <c r="B17" s="961" t="str">
        <f>Ref_table!B400</f>
        <v>Water pollution ==&gt; cost of abatement programmes</v>
      </c>
      <c r="C17" s="958">
        <f>Ref_table!C400</f>
        <v>0</v>
      </c>
      <c r="D17" s="14">
        <f>Ref_table!D400</f>
        <v>0</v>
      </c>
      <c r="E17" s="103">
        <f>Ref_table!E400</f>
        <v>10904192499.2</v>
      </c>
      <c r="F17" s="757">
        <f>Ref_table!F400</f>
        <v>1</v>
      </c>
      <c r="G17" s="172">
        <f>Ref_table!G400</f>
        <v>3791.203437909781</v>
      </c>
      <c r="H17" s="93"/>
      <c r="I17" s="1033" t="str">
        <f>Ref_table!I400</f>
        <v>20% of actual expenditure water at 28% of TOT_Exp*1.76%*gdp 2005</v>
      </c>
      <c r="J17" s="1034"/>
      <c r="K17" s="1034"/>
      <c r="L17" s="1034"/>
      <c r="M17" s="1034"/>
      <c r="N17" s="1034"/>
      <c r="O17" s="1034"/>
      <c r="P17" s="1035"/>
      <c r="Q17" s="93"/>
      <c r="R17" s="93"/>
      <c r="S17" s="93"/>
    </row>
    <row r="18" spans="1:19" ht="15">
      <c r="A18" s="428" t="str">
        <f>Ref_table!A401</f>
        <v>f942 &amp; j143</v>
      </c>
      <c r="B18" s="961" t="str">
        <f>Ref_table!B401</f>
        <v>Pollution/ Waste dumping ==&gt; cost of restoration programmes</v>
      </c>
      <c r="C18" s="959">
        <f>Ref_table!C401</f>
        <v>0</v>
      </c>
      <c r="D18" s="14">
        <f>Ref_table!D401</f>
        <v>0</v>
      </c>
      <c r="E18" s="103">
        <f>Ref_table!E401</f>
        <v>15577417856.000004</v>
      </c>
      <c r="F18" s="23">
        <f>Ref_table!F401</f>
        <v>1</v>
      </c>
      <c r="G18" s="172">
        <f>Ref_table!G401</f>
        <v>6986.327004698975</v>
      </c>
      <c r="H18" s="93"/>
      <c r="I18" s="1033" t="str">
        <f>Ref_table!I401</f>
        <v>20% of actual expenditure waste at 40% of TOT_Exp*1.76%*gdp 2006</v>
      </c>
      <c r="J18" s="1034"/>
      <c r="K18" s="1034"/>
      <c r="L18" s="1034"/>
      <c r="M18" s="1034"/>
      <c r="N18" s="1034"/>
      <c r="O18" s="1034"/>
      <c r="P18" s="1035"/>
      <c r="Q18" s="93"/>
      <c r="R18" s="93"/>
      <c r="S18" s="93"/>
    </row>
    <row r="19" spans="1:19" ht="15">
      <c r="A19" s="428" t="str">
        <f>Ref_table!A402</f>
        <v>f944 &amp; j144</v>
      </c>
      <c r="B19" s="961" t="str">
        <f>Ref_table!B402</f>
        <v>Air pollution ==&gt; cost of abatement programmes</v>
      </c>
      <c r="C19" s="959">
        <f>Ref_table!C402</f>
        <v>0</v>
      </c>
      <c r="D19" s="14">
        <f>Ref_table!D402</f>
        <v>0</v>
      </c>
      <c r="E19" s="103">
        <f>Ref_table!E402</f>
        <v>3894354464.000001</v>
      </c>
      <c r="F19" s="23">
        <f>Ref_table!F402</f>
        <v>1</v>
      </c>
      <c r="G19" s="172">
        <f>Ref_table!G402</f>
        <v>29007.84418335309</v>
      </c>
      <c r="H19" s="93"/>
      <c r="I19" s="1033" t="str">
        <f>Ref_table!I402</f>
        <v>20% of actual expenditure air pollution at 10% of TOT_Exp*1.76%*gdp 2007</v>
      </c>
      <c r="J19" s="1034"/>
      <c r="K19" s="1034"/>
      <c r="L19" s="1034"/>
      <c r="M19" s="1034"/>
      <c r="N19" s="1034"/>
      <c r="O19" s="1034"/>
      <c r="P19" s="1035"/>
      <c r="Q19" s="93"/>
      <c r="R19" s="93"/>
      <c r="S19" s="93"/>
    </row>
    <row r="20" spans="1:19" ht="15.75" thickBot="1">
      <c r="A20" s="429" t="str">
        <f>Ref_table!A403</f>
        <v>f945 &amp; j145</v>
      </c>
      <c r="B20" s="962" t="str">
        <f>Ref_table!B403</f>
        <v>Emission of GHGs ==&gt; investments in clean technologies</v>
      </c>
      <c r="C20" s="960">
        <f>Ref_table!C403</f>
        <v>0</v>
      </c>
      <c r="D20" s="430">
        <f>Ref_table!D403</f>
        <v>0</v>
      </c>
      <c r="E20" s="46">
        <f>Ref_table!E403</f>
        <v>110635070000</v>
      </c>
      <c r="F20" s="360">
        <f>Ref_table!F403</f>
        <v>1</v>
      </c>
      <c r="G20" s="364">
        <f>Ref_table!G403</f>
        <v>678.9143045875801</v>
      </c>
      <c r="H20" s="93"/>
      <c r="I20" s="1083" t="str">
        <f>Ref_table!I403</f>
        <v>Total = 1% gdp = annual expenditure to maintain atmosphere potential of 2 degree (=220 ppm CO2-e)</v>
      </c>
      <c r="J20" s="1084"/>
      <c r="K20" s="1084"/>
      <c r="L20" s="1084"/>
      <c r="M20" s="1084"/>
      <c r="N20" s="1084"/>
      <c r="O20" s="1084"/>
      <c r="P20" s="1085"/>
      <c r="Q20" s="93"/>
      <c r="R20" s="93"/>
      <c r="S20" s="93"/>
    </row>
    <row r="21" ht="15">
      <c r="A21" s="93"/>
    </row>
    <row r="22" ht="15">
      <c r="A22" s="93"/>
    </row>
  </sheetData>
  <sheetProtection/>
  <mergeCells count="16">
    <mergeCell ref="I17:P17"/>
    <mergeCell ref="I18:P18"/>
    <mergeCell ref="I19:P19"/>
    <mergeCell ref="I20:P20"/>
    <mergeCell ref="I11:P11"/>
    <mergeCell ref="I12:P12"/>
    <mergeCell ref="I13:P13"/>
    <mergeCell ref="I14:P14"/>
    <mergeCell ref="I15:P15"/>
    <mergeCell ref="I16:P16"/>
    <mergeCell ref="A3:B3"/>
    <mergeCell ref="I3:P3"/>
    <mergeCell ref="I5:P5"/>
    <mergeCell ref="I6:P6"/>
    <mergeCell ref="I7:P7"/>
    <mergeCell ref="I10:P10"/>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Q24"/>
  <sheetViews>
    <sheetView showZeros="0" zoomScale="60" zoomScaleNormal="60" zoomScalePageLayoutView="0" workbookViewId="0" topLeftCell="A1">
      <selection activeCell="F34" sqref="F34"/>
    </sheetView>
  </sheetViews>
  <sheetFormatPr defaultColWidth="9.140625" defaultRowHeight="15"/>
  <cols>
    <col min="1" max="1" width="15.8515625" style="0" customWidth="1"/>
    <col min="2" max="2" width="99.7109375" style="0" customWidth="1"/>
    <col min="3" max="3" width="12.421875" style="0" customWidth="1"/>
    <col min="4" max="4" width="13.7109375" style="0" customWidth="1"/>
    <col min="5" max="5" width="14.8515625" style="0" customWidth="1"/>
    <col min="6" max="6" width="11.7109375" style="0" customWidth="1"/>
    <col min="7" max="7" width="13.8515625" style="0" customWidth="1"/>
    <col min="8" max="9" width="12.57421875" style="0" customWidth="1"/>
    <col min="10" max="10" width="14.140625" style="0" customWidth="1"/>
    <col min="11" max="11" width="15.00390625" style="0" customWidth="1"/>
    <col min="12" max="12" width="12.00390625" style="0" customWidth="1"/>
    <col min="13" max="13" width="14.140625" style="0" customWidth="1"/>
    <col min="14" max="14" width="12.00390625" style="0" customWidth="1"/>
    <col min="15" max="15" width="12.7109375" style="0" customWidth="1"/>
    <col min="16" max="17" width="17.7109375" style="0" customWidth="1"/>
  </cols>
  <sheetData>
    <row r="1" ht="15">
      <c r="A1" t="str">
        <f>'Table I - Units Costs'!A1</f>
        <v>SECA - Simplified Ecosystem Capital Accounts</v>
      </c>
    </row>
    <row r="2" ht="15.75" thickBot="1">
      <c r="A2" s="93" t="str">
        <f>'Table I - Units Costs'!A2</f>
        <v>Draft Tables and Mock-up</v>
      </c>
    </row>
    <row r="3" spans="1:17" ht="15">
      <c r="A3" s="1036" t="str">
        <f>Ref_table!A405</f>
        <v>[J] Ecosystem Capital Depreciation: Territorial Consumption of Ecosystem Capital in 10^6 €</v>
      </c>
      <c r="B3" s="1072">
        <f>Ref_table!B405</f>
        <v>0</v>
      </c>
      <c r="C3" s="1074" t="str">
        <f>Ref_table!C405</f>
        <v>Inland ecosytem landscapes</v>
      </c>
      <c r="D3" s="1075">
        <f>Ref_table!D405</f>
        <v>0</v>
      </c>
      <c r="E3" s="1075">
        <f>Ref_table!E405</f>
        <v>0</v>
      </c>
      <c r="F3" s="1075">
        <f>Ref_table!F405</f>
        <v>0</v>
      </c>
      <c r="G3" s="1075">
        <f>Ref_table!G405</f>
        <v>0</v>
      </c>
      <c r="H3" s="1075">
        <f>Ref_table!H405</f>
        <v>0</v>
      </c>
      <c r="I3" s="1075">
        <f>Ref_table!I405</f>
        <v>0</v>
      </c>
      <c r="J3" s="1075">
        <f>Ref_table!J405</f>
        <v>0</v>
      </c>
      <c r="K3" s="1076">
        <f>Ref_table!K405</f>
        <v>0</v>
      </c>
      <c r="L3" s="1055" t="str">
        <f>Ref_table!L405</f>
        <v>Sea</v>
      </c>
      <c r="M3" s="1046">
        <f>Ref_table!M405</f>
        <v>0</v>
      </c>
      <c r="N3" s="1046">
        <f>Ref_table!N405</f>
        <v>0</v>
      </c>
      <c r="O3" s="1046">
        <f>Ref_table!O405</f>
        <v>0</v>
      </c>
      <c r="P3" s="405" t="str">
        <f>Ref_table!P405</f>
        <v>Atmosphere</v>
      </c>
      <c r="Q3" s="1070" t="str">
        <f>Ref_table!Q405</f>
        <v>GRAND TOTAL</v>
      </c>
    </row>
    <row r="4" spans="1:17" ht="105">
      <c r="A4" s="1038">
        <f>Ref_table!A406</f>
        <v>0</v>
      </c>
      <c r="B4" s="1073">
        <f>Ref_table!B406</f>
        <v>0</v>
      </c>
      <c r="C4" s="1027" t="str">
        <f>Ref_table!C406</f>
        <v>Dominant urban landscape</v>
      </c>
      <c r="D4" s="1027" t="str">
        <f>Ref_table!D406</f>
        <v>Dominant agriculture/ cropland</v>
      </c>
      <c r="E4" s="1027" t="str">
        <f>Ref_table!E406</f>
        <v>Dominant agriculture/ mixed landscape</v>
      </c>
      <c r="F4" s="1027" t="str">
        <f>Ref_table!F406</f>
        <v>Dominant forested landscape</v>
      </c>
      <c r="G4" s="1027" t="str">
        <f>Ref_table!G406</f>
        <v>Other dominant natural landscape</v>
      </c>
      <c r="H4" s="1027" t="str">
        <f>Ref_table!H406</f>
        <v>Composite landscape</v>
      </c>
      <c r="I4" s="322" t="str">
        <f>Ref_table!I406</f>
        <v>S/TOTAL  Land</v>
      </c>
      <c r="J4" s="1027" t="str">
        <f>Ref_table!J406</f>
        <v>Rivers </v>
      </c>
      <c r="K4" s="407" t="str">
        <f>Ref_table!K406</f>
        <v>TOTAL 1 inland ecosystems</v>
      </c>
      <c r="L4" s="673" t="str">
        <f>Ref_table!L406</f>
        <v>Fisheries (EEZ, all fishing areas)</v>
      </c>
      <c r="M4" s="674" t="str">
        <f>Ref_table!M406</f>
        <v>International</v>
      </c>
      <c r="N4" s="675" t="str">
        <f>Ref_table!N406</f>
        <v>TOTAL  Fisheries</v>
      </c>
      <c r="O4" s="398" t="str">
        <f>Ref_table!O406</f>
        <v>Regulation potential (C assimilation)</v>
      </c>
      <c r="P4" s="400" t="str">
        <f>Ref_table!P406</f>
        <v>Regulation potential (C assimilation)</v>
      </c>
      <c r="Q4" s="1071">
        <f>Ref_table!Q406</f>
        <v>0</v>
      </c>
    </row>
    <row r="5" spans="1:17" ht="15.75">
      <c r="A5" s="413" t="str">
        <f>Ref_table!A407</f>
        <v>J1</v>
      </c>
      <c r="B5" s="1019" t="str">
        <f>Ref_table!B407</f>
        <v>Territorial Consumption of Ecosystem Capital, mean annual value period t1-t10 in 10^6 €</v>
      </c>
      <c r="C5" s="410">
        <f>Ref_table!C407</f>
        <v>7045.451040473066</v>
      </c>
      <c r="D5" s="410">
        <f>Ref_table!D407</f>
        <v>11171.766380458323</v>
      </c>
      <c r="E5" s="410">
        <f>Ref_table!E407</f>
        <v>12284.57108599563</v>
      </c>
      <c r="F5" s="410">
        <f>Ref_table!F407</f>
        <v>14689.039357273128</v>
      </c>
      <c r="G5" s="410">
        <f>Ref_table!G407</f>
        <v>3388.7418596634643</v>
      </c>
      <c r="H5" s="410">
        <f>Ref_table!H407</f>
        <v>9856.104107834079</v>
      </c>
      <c r="I5" s="410">
        <f>Ref_table!I407</f>
        <v>58435.67383169769</v>
      </c>
      <c r="J5" s="410">
        <f>Ref_table!J407</f>
        <v>988.8219564807697</v>
      </c>
      <c r="K5" s="411">
        <f>Ref_table!K407</f>
        <v>59424.495788178465</v>
      </c>
      <c r="L5" s="414">
        <f>Ref_table!L407</f>
        <v>1400</v>
      </c>
      <c r="M5" s="415">
        <f>Ref_table!M407</f>
        <v>280</v>
      </c>
      <c r="N5" s="412">
        <f>Ref_table!N407</f>
        <v>1680</v>
      </c>
      <c r="O5" s="676">
        <f>Ref_table!O407</f>
        <v>0</v>
      </c>
      <c r="P5" s="672">
        <f>Ref_table!P407</f>
        <v>110635.07</v>
      </c>
      <c r="Q5" s="416">
        <f>Ref_table!Q407</f>
        <v>171739.56578817847</v>
      </c>
    </row>
    <row r="6" spans="1:17" ht="15">
      <c r="A6" s="295" t="str">
        <f>Ref_table!A408</f>
        <v>j11</v>
      </c>
      <c r="B6" s="1020" t="str">
        <f>Ref_table!B408</f>
        <v>Effect of land cover change</v>
      </c>
      <c r="C6" s="132">
        <f>Ref_table!C408</f>
        <v>0</v>
      </c>
      <c r="D6" s="489">
        <f>Ref_table!D408</f>
        <v>0</v>
      </c>
      <c r="E6" s="489">
        <f>Ref_table!E408</f>
        <v>0</v>
      </c>
      <c r="F6" s="489">
        <f>Ref_table!F408</f>
        <v>0</v>
      </c>
      <c r="G6" s="489">
        <f>Ref_table!G408</f>
        <v>0</v>
      </c>
      <c r="H6" s="489">
        <f>Ref_table!H408</f>
        <v>0</v>
      </c>
      <c r="I6" s="132">
        <f>Ref_table!I408</f>
        <v>0</v>
      </c>
      <c r="J6" s="132">
        <f>Ref_table!J408</f>
        <v>0</v>
      </c>
      <c r="K6" s="172">
        <f>Ref_table!K408</f>
        <v>0</v>
      </c>
      <c r="L6" s="328">
        <f>Ref_table!L408</f>
        <v>0</v>
      </c>
      <c r="M6" s="132">
        <f>Ref_table!M408</f>
        <v>0</v>
      </c>
      <c r="N6" s="132">
        <f>Ref_table!N408</f>
        <v>0</v>
      </c>
      <c r="O6" s="298">
        <f>Ref_table!O408</f>
        <v>0</v>
      </c>
      <c r="P6" s="431">
        <f>Ref_table!P408</f>
        <v>0</v>
      </c>
      <c r="Q6" s="431">
        <f>Ref_table!Q408</f>
        <v>0</v>
      </c>
    </row>
    <row r="7" spans="1:17" ht="15">
      <c r="A7" s="428" t="str">
        <f>Ref_table!A409</f>
        <v>j111</v>
      </c>
      <c r="B7" s="130" t="str">
        <f>Ref_table!B409</f>
        <v>Urban and infrastructures development over agriculture</v>
      </c>
      <c r="C7" s="4">
        <f>Ref_table!C409</f>
        <v>4104.227663469281</v>
      </c>
      <c r="D7" s="4">
        <f>Ref_table!D409</f>
        <v>10183.58978299792</v>
      </c>
      <c r="E7" s="4">
        <f>Ref_table!E409</f>
        <v>14464.312699098518</v>
      </c>
      <c r="F7" s="4">
        <f>Ref_table!F409</f>
        <v>0</v>
      </c>
      <c r="G7" s="4">
        <f>Ref_table!G409</f>
        <v>0</v>
      </c>
      <c r="H7" s="4">
        <f>Ref_table!H409</f>
        <v>35893.4923783389</v>
      </c>
      <c r="I7" s="132">
        <f>Ref_table!I409</f>
        <v>64645.62252390462</v>
      </c>
      <c r="J7" s="4">
        <f>Ref_table!J409</f>
        <v>0</v>
      </c>
      <c r="K7" s="408">
        <f>Ref_table!K409</f>
        <v>64645.62252390462</v>
      </c>
      <c r="L7" s="327">
        <f>Ref_table!L409</f>
        <v>0</v>
      </c>
      <c r="M7" s="23">
        <f>Ref_table!M409</f>
        <v>0</v>
      </c>
      <c r="N7" s="365">
        <f>Ref_table!N409</f>
        <v>0</v>
      </c>
      <c r="O7" s="677">
        <f>Ref_table!O409</f>
        <v>0</v>
      </c>
      <c r="P7" s="399">
        <f>Ref_table!P409</f>
        <v>0</v>
      </c>
      <c r="Q7" s="189">
        <f>Ref_table!Q409</f>
        <v>64645.62252390462</v>
      </c>
    </row>
    <row r="8" spans="1:17" ht="15">
      <c r="A8" s="428" t="str">
        <f>Ref_table!A410</f>
        <v>j112</v>
      </c>
      <c r="B8" s="1021" t="str">
        <f>Ref_table!B410</f>
        <v>Conversion of pasture/grassland to cropland</v>
      </c>
      <c r="C8" s="4">
        <f>Ref_table!C410</f>
        <v>1824.1011837641252</v>
      </c>
      <c r="D8" s="4">
        <f>Ref_table!D410</f>
        <v>13578.119710663894</v>
      </c>
      <c r="E8" s="4">
        <f>Ref_table!E410</f>
        <v>4821.437566366173</v>
      </c>
      <c r="F8" s="4">
        <f>Ref_table!F410</f>
        <v>499.08207418628245</v>
      </c>
      <c r="G8" s="4">
        <f>Ref_table!G410</f>
        <v>2811.8559255934388</v>
      </c>
      <c r="H8" s="4">
        <f>Ref_table!H410</f>
        <v>31905.326558523473</v>
      </c>
      <c r="I8" s="132">
        <f>Ref_table!I410</f>
        <v>55439.92301909738</v>
      </c>
      <c r="J8" s="4">
        <f>Ref_table!J410</f>
        <v>0</v>
      </c>
      <c r="K8" s="408">
        <f>Ref_table!K410</f>
        <v>55439.92301909738</v>
      </c>
      <c r="L8" s="327">
        <f>Ref_table!L410</f>
        <v>0</v>
      </c>
      <c r="M8" s="23">
        <f>Ref_table!M410</f>
        <v>0</v>
      </c>
      <c r="N8" s="365">
        <f>Ref_table!N410</f>
        <v>0</v>
      </c>
      <c r="O8" s="677">
        <f>Ref_table!O410</f>
        <v>0</v>
      </c>
      <c r="P8" s="399">
        <f>Ref_table!P410</f>
        <v>0</v>
      </c>
      <c r="Q8" s="189">
        <f>Ref_table!Q410</f>
        <v>55439.92301909738</v>
      </c>
    </row>
    <row r="9" spans="1:17" ht="15">
      <c r="A9" s="428" t="str">
        <f>Ref_table!A411</f>
        <v>j113</v>
      </c>
      <c r="B9" s="130" t="str">
        <f>Ref_table!B411</f>
        <v>Deforestation (forest land uptake by agriculture or urban sprawl)</v>
      </c>
      <c r="C9" s="4">
        <f>Ref_table!C411</f>
        <v>5863.182376384688</v>
      </c>
      <c r="D9" s="4">
        <f>Ref_table!D411</f>
        <v>21821.978106424114</v>
      </c>
      <c r="E9" s="4">
        <f>Ref_table!E411</f>
        <v>15497.477891891269</v>
      </c>
      <c r="F9" s="4">
        <f>Ref_table!F411</f>
        <v>3208.3847626261013</v>
      </c>
      <c r="G9" s="4">
        <f>Ref_table!G411</f>
        <v>0</v>
      </c>
      <c r="H9" s="4">
        <f>Ref_table!H411</f>
        <v>25638.208841670647</v>
      </c>
      <c r="I9" s="132">
        <f>Ref_table!I411</f>
        <v>72029.23197899683</v>
      </c>
      <c r="J9" s="4">
        <f>Ref_table!J411</f>
        <v>0</v>
      </c>
      <c r="K9" s="408">
        <f>Ref_table!K411</f>
        <v>72029.23197899683</v>
      </c>
      <c r="L9" s="327">
        <f>Ref_table!L411</f>
        <v>0</v>
      </c>
      <c r="M9" s="23">
        <f>Ref_table!M411</f>
        <v>0</v>
      </c>
      <c r="N9" s="365">
        <f>Ref_table!N411</f>
        <v>0</v>
      </c>
      <c r="O9" s="677">
        <f>Ref_table!O411</f>
        <v>0</v>
      </c>
      <c r="P9" s="399">
        <f>Ref_table!P411</f>
        <v>0</v>
      </c>
      <c r="Q9" s="189">
        <f>Ref_table!Q411</f>
        <v>72029.23197899683</v>
      </c>
    </row>
    <row r="10" spans="1:17" ht="15">
      <c r="A10" s="428" t="str">
        <f>Ref_table!A412</f>
        <v>j114</v>
      </c>
      <c r="B10" s="130" t="str">
        <f>Ref_table!B412</f>
        <v>Other shift to more artificial or intensive land cover type</v>
      </c>
      <c r="C10" s="4">
        <f>Ref_table!C412</f>
        <v>0</v>
      </c>
      <c r="D10" s="747">
        <f>Ref_table!D412</f>
        <v>0</v>
      </c>
      <c r="E10" s="747">
        <f>Ref_table!E412</f>
        <v>0</v>
      </c>
      <c r="F10" s="747">
        <f>Ref_table!F412</f>
        <v>0</v>
      </c>
      <c r="G10" s="747">
        <f>Ref_table!G412</f>
        <v>0</v>
      </c>
      <c r="H10" s="747">
        <f>Ref_table!H412</f>
        <v>0</v>
      </c>
      <c r="I10" s="132">
        <f>Ref_table!I412</f>
        <v>0</v>
      </c>
      <c r="J10" s="4">
        <f>Ref_table!J412</f>
        <v>0</v>
      </c>
      <c r="K10" s="408">
        <f>Ref_table!K412</f>
        <v>0</v>
      </c>
      <c r="L10" s="327">
        <f>Ref_table!L412</f>
        <v>0</v>
      </c>
      <c r="M10" s="4">
        <f>Ref_table!M412</f>
        <v>0</v>
      </c>
      <c r="N10" s="132">
        <f>Ref_table!N412</f>
        <v>0</v>
      </c>
      <c r="O10" s="568">
        <f>Ref_table!O412</f>
        <v>0</v>
      </c>
      <c r="P10" s="399">
        <f>Ref_table!P412</f>
        <v>0</v>
      </c>
      <c r="Q10" s="755">
        <f>Ref_table!Q412</f>
        <v>0</v>
      </c>
    </row>
    <row r="11" spans="1:17" ht="15">
      <c r="A11" s="295" t="str">
        <f>Ref_table!A413</f>
        <v>j12</v>
      </c>
      <c r="B11" s="1020" t="str">
        <f>Ref_table!B413</f>
        <v>Restructuring/destructuring of landscapes and rivers</v>
      </c>
      <c r="C11" s="132">
        <f>Ref_table!C413</f>
        <v>7328.97797048086</v>
      </c>
      <c r="D11" s="489">
        <f>Ref_table!D413</f>
        <v>40916.20894954521</v>
      </c>
      <c r="E11" s="489">
        <f>Ref_table!E413</f>
        <v>38743.69472972817</v>
      </c>
      <c r="F11" s="489">
        <f>Ref_table!F413</f>
        <v>0</v>
      </c>
      <c r="G11" s="489">
        <f>Ref_table!G413</f>
        <v>11297.635415330778</v>
      </c>
      <c r="H11" s="489">
        <f>Ref_table!H413</f>
        <v>0</v>
      </c>
      <c r="I11" s="132">
        <f>Ref_table!I413</f>
        <v>98286.51706508502</v>
      </c>
      <c r="J11" s="132">
        <f>Ref_table!J413</f>
        <v>3955.28782592308</v>
      </c>
      <c r="K11" s="172">
        <f>Ref_table!K413</f>
        <v>102241.8048910081</v>
      </c>
      <c r="L11" s="328">
        <f>Ref_table!L413</f>
        <v>0</v>
      </c>
      <c r="M11" s="132">
        <f>Ref_table!M413</f>
        <v>0</v>
      </c>
      <c r="N11" s="132">
        <f>Ref_table!N413</f>
        <v>0</v>
      </c>
      <c r="O11" s="298">
        <f>Ref_table!O413</f>
        <v>0</v>
      </c>
      <c r="P11" s="431">
        <f>Ref_table!P413</f>
        <v>0</v>
      </c>
      <c r="Q11" s="431">
        <f>Ref_table!Q413</f>
        <v>102241.8048910081</v>
      </c>
    </row>
    <row r="12" spans="1:17" ht="15">
      <c r="A12" s="295" t="str">
        <f>Ref_table!A414</f>
        <v>j13</v>
      </c>
      <c r="B12" s="1020" t="str">
        <f>Ref_table!B414</f>
        <v>Overexploitation of biological resources</v>
      </c>
      <c r="C12" s="132">
        <f>Ref_table!C414</f>
        <v>0</v>
      </c>
      <c r="D12" s="489">
        <f>Ref_table!D414</f>
        <v>0</v>
      </c>
      <c r="E12" s="489">
        <f>Ref_table!E414</f>
        <v>0</v>
      </c>
      <c r="F12" s="489">
        <f>Ref_table!F414</f>
        <v>0</v>
      </c>
      <c r="G12" s="489">
        <f>Ref_table!G414</f>
        <v>0</v>
      </c>
      <c r="H12" s="489">
        <f>Ref_table!H414</f>
        <v>0</v>
      </c>
      <c r="I12" s="132">
        <f>Ref_table!I414</f>
        <v>0</v>
      </c>
      <c r="J12" s="132">
        <f>Ref_table!J414</f>
        <v>0</v>
      </c>
      <c r="K12" s="172">
        <f>Ref_table!K414</f>
        <v>0</v>
      </c>
      <c r="L12" s="328">
        <f>Ref_table!L414</f>
        <v>0</v>
      </c>
      <c r="M12" s="132">
        <f>Ref_table!M414</f>
        <v>0</v>
      </c>
      <c r="N12" s="132">
        <f>Ref_table!N414</f>
        <v>0</v>
      </c>
      <c r="O12" s="298">
        <f>Ref_table!O414</f>
        <v>0</v>
      </c>
      <c r="P12" s="431">
        <f>Ref_table!P414</f>
        <v>0</v>
      </c>
      <c r="Q12" s="431">
        <f>Ref_table!Q414</f>
        <v>0</v>
      </c>
    </row>
    <row r="13" spans="1:17" ht="15">
      <c r="A13" s="428" t="str">
        <f>Ref_table!A415</f>
        <v>j131</v>
      </c>
      <c r="B13" s="130" t="str">
        <f>Ref_table!B415</f>
        <v>Agriculture overharvesting and over grazing</v>
      </c>
      <c r="C13" s="4">
        <f>Ref_table!C415</f>
        <v>0</v>
      </c>
      <c r="D13" s="4">
        <f>Ref_table!D415</f>
        <v>5091.794891498959</v>
      </c>
      <c r="E13" s="4">
        <f>Ref_table!E415</f>
        <v>1446.4312699098518</v>
      </c>
      <c r="F13" s="4">
        <f>Ref_table!F415</f>
        <v>0</v>
      </c>
      <c r="G13" s="4">
        <f>Ref_table!G415</f>
        <v>0</v>
      </c>
      <c r="H13" s="4">
        <f>Ref_table!H415</f>
        <v>2392.8994918892604</v>
      </c>
      <c r="I13" s="132">
        <f>Ref_table!I415</f>
        <v>8931.125653298071</v>
      </c>
      <c r="J13" s="4">
        <f>Ref_table!J415</f>
        <v>0</v>
      </c>
      <c r="K13" s="408">
        <f>Ref_table!K415</f>
        <v>8931.125653298071</v>
      </c>
      <c r="L13" s="327">
        <f>Ref_table!L415</f>
        <v>0</v>
      </c>
      <c r="M13" s="23">
        <f>Ref_table!M415</f>
        <v>0</v>
      </c>
      <c r="N13" s="365">
        <f>Ref_table!N415</f>
        <v>0</v>
      </c>
      <c r="O13" s="677">
        <f>Ref_table!O415</f>
        <v>0</v>
      </c>
      <c r="P13" s="399">
        <f>Ref_table!P415</f>
        <v>0</v>
      </c>
      <c r="Q13" s="189">
        <f>Ref_table!Q415</f>
        <v>8931.125653298071</v>
      </c>
    </row>
    <row r="14" spans="1:17" ht="15">
      <c r="A14" s="428" t="str">
        <f>Ref_table!A416</f>
        <v>j132</v>
      </c>
      <c r="B14" s="130" t="str">
        <f>Ref_table!B416</f>
        <v>Clearing of forest beyond mean NEP</v>
      </c>
      <c r="C14" s="4">
        <f>Ref_table!C416</f>
        <v>0</v>
      </c>
      <c r="D14" s="4">
        <f>Ref_table!D416</f>
        <v>0</v>
      </c>
      <c r="E14" s="4">
        <f>Ref_table!E416</f>
        <v>4842.961841216022</v>
      </c>
      <c r="F14" s="4">
        <f>Ref_table!F416</f>
        <v>12031.442859847879</v>
      </c>
      <c r="G14" s="4">
        <f>Ref_table!G416</f>
        <v>0</v>
      </c>
      <c r="H14" s="4">
        <f>Ref_table!H416</f>
        <v>0</v>
      </c>
      <c r="I14" s="132">
        <f>Ref_table!I416</f>
        <v>16874.4047010639</v>
      </c>
      <c r="J14" s="4">
        <f>Ref_table!J416</f>
        <v>0</v>
      </c>
      <c r="K14" s="408">
        <f>Ref_table!K416</f>
        <v>16874.4047010639</v>
      </c>
      <c r="L14" s="327">
        <f>Ref_table!L416</f>
        <v>0</v>
      </c>
      <c r="M14" s="23">
        <f>Ref_table!M416</f>
        <v>0</v>
      </c>
      <c r="N14" s="365">
        <f>Ref_table!N416</f>
        <v>0</v>
      </c>
      <c r="O14" s="677">
        <f>Ref_table!O416</f>
        <v>0</v>
      </c>
      <c r="P14" s="399">
        <f>Ref_table!P416</f>
        <v>0</v>
      </c>
      <c r="Q14" s="189">
        <f>Ref_table!Q416</f>
        <v>16874.4047010639</v>
      </c>
    </row>
    <row r="15" spans="1:17" ht="15">
      <c r="A15" s="428" t="str">
        <f>Ref_table!A417</f>
        <v>j133</v>
      </c>
      <c r="B15" s="130" t="str">
        <f>Ref_table!B417</f>
        <v>Overfishing</v>
      </c>
      <c r="C15" s="4">
        <f>Ref_table!C417</f>
        <v>0</v>
      </c>
      <c r="D15" s="4">
        <f>Ref_table!D417</f>
        <v>0</v>
      </c>
      <c r="E15" s="4">
        <f>Ref_table!E417</f>
        <v>0</v>
      </c>
      <c r="F15" s="4">
        <f>Ref_table!F417</f>
        <v>0</v>
      </c>
      <c r="G15" s="4">
        <f>Ref_table!G417</f>
        <v>0</v>
      </c>
      <c r="H15" s="4">
        <f>Ref_table!H417</f>
        <v>0</v>
      </c>
      <c r="I15" s="132">
        <f>Ref_table!I417</f>
        <v>0</v>
      </c>
      <c r="J15" s="4">
        <f>Ref_table!J417</f>
        <v>988.8219564807697</v>
      </c>
      <c r="K15" s="408">
        <f>Ref_table!K417</f>
        <v>988.8219564807697</v>
      </c>
      <c r="L15" s="327">
        <f>Ref_table!L417</f>
        <v>1400</v>
      </c>
      <c r="M15" s="23">
        <f>Ref_table!M417</f>
        <v>280</v>
      </c>
      <c r="N15" s="365">
        <f>Ref_table!N417</f>
        <v>1680</v>
      </c>
      <c r="O15" s="677">
        <f>Ref_table!O417</f>
        <v>0</v>
      </c>
      <c r="P15" s="399">
        <f>Ref_table!P417</f>
        <v>0</v>
      </c>
      <c r="Q15" s="189">
        <f>Ref_table!Q417</f>
        <v>2668.8219564807696</v>
      </c>
    </row>
    <row r="16" spans="1:17" ht="15">
      <c r="A16" s="428" t="str">
        <f>Ref_table!A418</f>
        <v>j134</v>
      </c>
      <c r="B16" s="130" t="str">
        <f>Ref_table!B418</f>
        <v>Overhunting</v>
      </c>
      <c r="C16" s="4">
        <f>Ref_table!C418</f>
        <v>0</v>
      </c>
      <c r="D16" s="4">
        <f>Ref_table!D418</f>
        <v>0</v>
      </c>
      <c r="E16" s="4">
        <f>Ref_table!E418</f>
        <v>0</v>
      </c>
      <c r="F16" s="4">
        <f>Ref_table!F418</f>
        <v>0</v>
      </c>
      <c r="G16" s="4">
        <f>Ref_table!G418</f>
        <v>0</v>
      </c>
      <c r="H16" s="4">
        <f>Ref_table!H418</f>
        <v>0</v>
      </c>
      <c r="I16" s="132">
        <f>Ref_table!I418</f>
        <v>0</v>
      </c>
      <c r="J16" s="4">
        <f>Ref_table!J418</f>
        <v>0</v>
      </c>
      <c r="K16" s="408">
        <f>Ref_table!K418</f>
        <v>0</v>
      </c>
      <c r="L16" s="327">
        <f>Ref_table!L418</f>
        <v>0</v>
      </c>
      <c r="M16" s="23">
        <f>Ref_table!M418</f>
        <v>0</v>
      </c>
      <c r="N16" s="365">
        <f>Ref_table!N418</f>
        <v>0</v>
      </c>
      <c r="O16" s="677">
        <f>Ref_table!O418</f>
        <v>0</v>
      </c>
      <c r="P16" s="399">
        <f>Ref_table!P418</f>
        <v>0</v>
      </c>
      <c r="Q16" s="189">
        <f>Ref_table!Q418</f>
        <v>0</v>
      </c>
    </row>
    <row r="17" spans="1:17" ht="15">
      <c r="A17" s="295" t="str">
        <f>Ref_table!A419</f>
        <v>f14</v>
      </c>
      <c r="B17" s="1020" t="str">
        <f>Ref_table!B419</f>
        <v>Waste disposal, pollution</v>
      </c>
      <c r="C17" s="132">
        <f>Ref_table!C419</f>
        <v>0</v>
      </c>
      <c r="D17" s="489">
        <f>Ref_table!D419</f>
        <v>0</v>
      </c>
      <c r="E17" s="489">
        <f>Ref_table!E419</f>
        <v>0</v>
      </c>
      <c r="F17" s="489">
        <f>Ref_table!F419</f>
        <v>0</v>
      </c>
      <c r="G17" s="489">
        <f>Ref_table!G419</f>
        <v>0</v>
      </c>
      <c r="H17" s="489">
        <f>Ref_table!H419</f>
        <v>0</v>
      </c>
      <c r="I17" s="132">
        <f>Ref_table!I419</f>
        <v>0</v>
      </c>
      <c r="J17" s="132">
        <f>Ref_table!J419</f>
        <v>0</v>
      </c>
      <c r="K17" s="172">
        <f>Ref_table!K419</f>
        <v>0</v>
      </c>
      <c r="L17" s="328">
        <f>Ref_table!L419</f>
        <v>0</v>
      </c>
      <c r="M17" s="132">
        <f>Ref_table!M419</f>
        <v>0</v>
      </c>
      <c r="N17" s="132">
        <f>Ref_table!N419</f>
        <v>0</v>
      </c>
      <c r="O17" s="298">
        <f>Ref_table!O419</f>
        <v>0</v>
      </c>
      <c r="P17" s="431">
        <f>Ref_table!P419</f>
        <v>0</v>
      </c>
      <c r="Q17" s="431">
        <f>Ref_table!Q419</f>
        <v>0</v>
      </c>
    </row>
    <row r="18" spans="1:17" ht="15">
      <c r="A18" s="428" t="str">
        <f>Ref_table!A420</f>
        <v>j141</v>
      </c>
      <c r="B18" s="1022" t="str">
        <f>Ref_table!B420</f>
        <v>Pollution/ Use of chemicals in agriculture, forestry</v>
      </c>
      <c r="C18" s="4">
        <f>Ref_table!C420</f>
        <v>0</v>
      </c>
      <c r="D18" s="4">
        <f>Ref_table!D420</f>
        <v>909.2490877676714</v>
      </c>
      <c r="E18" s="4">
        <f>Ref_table!E420</f>
        <v>1291.456490990939</v>
      </c>
      <c r="F18" s="4">
        <f>Ref_table!F420</f>
        <v>53.47307937710169</v>
      </c>
      <c r="G18" s="4">
        <f>Ref_table!G420</f>
        <v>0</v>
      </c>
      <c r="H18" s="4">
        <f>Ref_table!H420</f>
        <v>0</v>
      </c>
      <c r="I18" s="132">
        <f>Ref_table!I420</f>
        <v>2254.1786581357123</v>
      </c>
      <c r="J18" s="4">
        <f>Ref_table!J420</f>
        <v>0</v>
      </c>
      <c r="K18" s="408">
        <f>Ref_table!K420</f>
        <v>2254.1786581357123</v>
      </c>
      <c r="L18" s="327">
        <f>Ref_table!L420</f>
        <v>0</v>
      </c>
      <c r="M18" s="23">
        <f>Ref_table!M420</f>
        <v>0</v>
      </c>
      <c r="N18" s="365">
        <f>Ref_table!N420</f>
        <v>0</v>
      </c>
      <c r="O18" s="677">
        <f>Ref_table!O420</f>
        <v>0</v>
      </c>
      <c r="P18" s="399">
        <f>Ref_table!P420</f>
        <v>0</v>
      </c>
      <c r="Q18" s="189">
        <f>Ref_table!Q420</f>
        <v>2254.1786581357123</v>
      </c>
    </row>
    <row r="19" spans="1:17" ht="15">
      <c r="A19" s="428" t="str">
        <f>Ref_table!A421</f>
        <v>j142</v>
      </c>
      <c r="B19" s="1023" t="str">
        <f>Ref_table!B421</f>
        <v>Water pollution</v>
      </c>
      <c r="C19" s="4">
        <f>Ref_table!C421</f>
        <v>2778.5646478052076</v>
      </c>
      <c r="D19" s="4">
        <f>Ref_table!D421</f>
        <v>5170.7224011916915</v>
      </c>
      <c r="E19" s="4">
        <f>Ref_table!E421</f>
        <v>2448.087144277875</v>
      </c>
      <c r="F19" s="4">
        <f>Ref_table!F421</f>
        <v>506.81830592522635</v>
      </c>
      <c r="G19" s="4">
        <f>Ref_table!G421</f>
        <v>0</v>
      </c>
      <c r="H19" s="4">
        <f>Ref_table!H421</f>
        <v>0</v>
      </c>
      <c r="I19" s="132">
        <f>Ref_table!I421</f>
        <v>10904.1924992</v>
      </c>
      <c r="J19" s="4">
        <f>Ref_table!J421</f>
        <v>0</v>
      </c>
      <c r="K19" s="408">
        <f>Ref_table!K421</f>
        <v>10904.1924992</v>
      </c>
      <c r="L19" s="327">
        <f>Ref_table!L421</f>
        <v>0</v>
      </c>
      <c r="M19" s="23">
        <f>Ref_table!M421</f>
        <v>0</v>
      </c>
      <c r="N19" s="365">
        <f>Ref_table!N421</f>
        <v>0</v>
      </c>
      <c r="O19" s="677">
        <f>Ref_table!O421</f>
        <v>0</v>
      </c>
      <c r="P19" s="399">
        <f>Ref_table!P421</f>
        <v>0</v>
      </c>
      <c r="Q19" s="189">
        <f>Ref_table!Q421</f>
        <v>10904.1924992</v>
      </c>
    </row>
    <row r="20" spans="1:17" ht="15">
      <c r="A20" s="428" t="str">
        <f>Ref_table!A422</f>
        <v>j143</v>
      </c>
      <c r="B20" s="1022" t="str">
        <f>Ref_table!B422</f>
        <v>Pollution/ Waste dumping</v>
      </c>
      <c r="C20" s="4">
        <f>Ref_table!C422</f>
        <v>4266.886392667859</v>
      </c>
      <c r="D20" s="4">
        <f>Ref_table!D422</f>
        <v>0</v>
      </c>
      <c r="E20" s="4">
        <f>Ref_table!E422</f>
        <v>2255.6343396009443</v>
      </c>
      <c r="F20" s="4">
        <f>Ref_table!F422</f>
        <v>933.9510461916434</v>
      </c>
      <c r="G20" s="4">
        <f>Ref_table!G422</f>
        <v>657.741461594741</v>
      </c>
      <c r="H20" s="4">
        <f>Ref_table!H422</f>
        <v>7463.204615944819</v>
      </c>
      <c r="I20" s="132">
        <f>Ref_table!I422</f>
        <v>15577.417856000007</v>
      </c>
      <c r="J20" s="4">
        <f>Ref_table!J422</f>
        <v>0</v>
      </c>
      <c r="K20" s="408">
        <f>Ref_table!K422</f>
        <v>15577.417856000007</v>
      </c>
      <c r="L20" s="327">
        <f>Ref_table!L422</f>
        <v>0</v>
      </c>
      <c r="M20" s="23">
        <f>Ref_table!M422</f>
        <v>0</v>
      </c>
      <c r="N20" s="365">
        <f>Ref_table!N422</f>
        <v>0</v>
      </c>
      <c r="O20" s="677">
        <f>Ref_table!O422</f>
        <v>0</v>
      </c>
      <c r="P20" s="399">
        <f>Ref_table!P422</f>
        <v>0</v>
      </c>
      <c r="Q20" s="189">
        <f>Ref_table!Q422</f>
        <v>15577.417856000007</v>
      </c>
    </row>
    <row r="21" spans="1:17" ht="15">
      <c r="A21" s="428" t="str">
        <f>Ref_table!A423</f>
        <v>j144</v>
      </c>
      <c r="B21" s="1022" t="str">
        <f>Ref_table!B423</f>
        <v>Air pollution</v>
      </c>
      <c r="C21" s="4">
        <f>Ref_table!C423</f>
        <v>0</v>
      </c>
      <c r="D21" s="4">
        <f>Ref_table!D423</f>
        <v>0</v>
      </c>
      <c r="E21" s="4">
        <f>Ref_table!E423</f>
        <v>0</v>
      </c>
      <c r="F21" s="4">
        <f>Ref_table!F423</f>
        <v>1163.3540659312778</v>
      </c>
      <c r="G21" s="4">
        <f>Ref_table!G423</f>
        <v>2731.0003980687234</v>
      </c>
      <c r="H21" s="4">
        <f>Ref_table!H423</f>
        <v>0</v>
      </c>
      <c r="I21" s="132">
        <f>Ref_table!I423</f>
        <v>3894.354464000001</v>
      </c>
      <c r="J21" s="4">
        <f>Ref_table!J423</f>
        <v>0</v>
      </c>
      <c r="K21" s="408">
        <f>Ref_table!K423</f>
        <v>3894.354464000001</v>
      </c>
      <c r="L21" s="327">
        <f>Ref_table!L423</f>
        <v>0</v>
      </c>
      <c r="M21" s="23">
        <f>Ref_table!M423</f>
        <v>0</v>
      </c>
      <c r="N21" s="365">
        <f>Ref_table!N423</f>
        <v>0</v>
      </c>
      <c r="O21" s="677">
        <f>Ref_table!O423</f>
        <v>0</v>
      </c>
      <c r="P21" s="399">
        <f>Ref_table!P423</f>
        <v>0</v>
      </c>
      <c r="Q21" s="189">
        <f>Ref_table!Q423</f>
        <v>3894.354464000001</v>
      </c>
    </row>
    <row r="22" spans="1:17" ht="15.75" thickBot="1">
      <c r="A22" s="429" t="str">
        <f>Ref_table!A424</f>
        <v>j145</v>
      </c>
      <c r="B22" s="1024" t="str">
        <f>Ref_table!B424</f>
        <v>Emission of GHGs</v>
      </c>
      <c r="C22" s="191">
        <f>Ref_table!C424</f>
        <v>0</v>
      </c>
      <c r="D22" s="191">
        <f>Ref_table!D424</f>
        <v>0</v>
      </c>
      <c r="E22" s="191">
        <f>Ref_table!E424</f>
        <v>0</v>
      </c>
      <c r="F22" s="355">
        <f>Ref_table!F424</f>
        <v>0</v>
      </c>
      <c r="G22" s="356">
        <f>Ref_table!G424</f>
        <v>0</v>
      </c>
      <c r="H22" s="191">
        <f>Ref_table!H424</f>
        <v>0</v>
      </c>
      <c r="I22" s="270">
        <f>Ref_table!I424</f>
        <v>0</v>
      </c>
      <c r="J22" s="191">
        <f>Ref_table!J424</f>
        <v>0</v>
      </c>
      <c r="K22" s="409">
        <f>Ref_table!K424</f>
        <v>0</v>
      </c>
      <c r="L22" s="404">
        <f>Ref_table!L424</f>
        <v>0</v>
      </c>
      <c r="M22" s="402">
        <f>Ref_table!M424</f>
        <v>0</v>
      </c>
      <c r="N22" s="366">
        <f>Ref_table!N424</f>
        <v>0</v>
      </c>
      <c r="O22" s="678">
        <f>Ref_table!O424</f>
        <v>0</v>
      </c>
      <c r="P22" s="401">
        <f>Ref_table!P424</f>
        <v>110635.07</v>
      </c>
      <c r="Q22" s="679">
        <f>Ref_table!Q424</f>
        <v>110635.07</v>
      </c>
    </row>
    <row r="23" ht="15">
      <c r="A23" s="93"/>
    </row>
    <row r="24" ht="15">
      <c r="A24" s="93"/>
    </row>
  </sheetData>
  <sheetProtection/>
  <mergeCells count="4">
    <mergeCell ref="A3:B4"/>
    <mergeCell ref="C3:K3"/>
    <mergeCell ref="L3:O3"/>
    <mergeCell ref="Q3:Q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17"/>
  <sheetViews>
    <sheetView showZeros="0" zoomScale="60" zoomScaleNormal="60" zoomScalePageLayoutView="0" workbookViewId="0" topLeftCell="A1">
      <selection activeCell="I36" sqref="I36"/>
    </sheetView>
  </sheetViews>
  <sheetFormatPr defaultColWidth="9.140625" defaultRowHeight="15"/>
  <cols>
    <col min="1" max="1" width="15.8515625" style="0" customWidth="1"/>
    <col min="2" max="2" width="99.7109375" style="0" customWidth="1"/>
    <col min="3" max="3" width="12.421875" style="0" customWidth="1"/>
    <col min="4" max="4" width="13.7109375" style="0" customWidth="1"/>
    <col min="5" max="5" width="14.8515625" style="0" customWidth="1"/>
    <col min="6" max="6" width="11.7109375" style="0" customWidth="1"/>
    <col min="7" max="7" width="13.8515625" style="0" customWidth="1"/>
    <col min="8" max="9" width="12.57421875" style="0" customWidth="1"/>
    <col min="10" max="10" width="14.140625" style="0" customWidth="1"/>
    <col min="11" max="11" width="15.00390625" style="0" customWidth="1"/>
    <col min="12" max="12" width="12.00390625" style="0" customWidth="1"/>
    <col min="13" max="13" width="14.140625" style="0" customWidth="1"/>
    <col min="14" max="14" width="12.00390625" style="0" customWidth="1"/>
    <col min="15" max="15" width="12.7109375" style="0" customWidth="1"/>
    <col min="16" max="17" width="17.7109375" style="0" customWidth="1"/>
  </cols>
  <sheetData>
    <row r="1" ht="15">
      <c r="A1" t="str">
        <f>'Table J - Depreciation'!A1</f>
        <v>SECA - Simplified Ecosystem Capital Accounts</v>
      </c>
    </row>
    <row r="2" ht="15.75" thickBot="1">
      <c r="A2" s="93" t="str">
        <f>'Table J - Depreciation'!A2</f>
        <v>Draft Tables and Mock-up</v>
      </c>
    </row>
    <row r="3" spans="1:13" ht="26.25" customHeight="1">
      <c r="A3" s="1068" t="str">
        <f>Ref_table!A426</f>
        <v>[K] Account of Ecosystem Capital Degradation &amp; Depreciation Embedded                                 into Imports and Exports, in EPUE &amp; 10^6 € </v>
      </c>
      <c r="B3" s="1069">
        <f>Ref_table!B426</f>
        <v>0</v>
      </c>
      <c r="C3" s="1013" t="str">
        <f>Ref_table!C426</f>
        <v>t1 (1995)</v>
      </c>
      <c r="D3" s="423" t="str">
        <f>Ref_table!D426</f>
        <v>1996</v>
      </c>
      <c r="E3" s="423" t="str">
        <f>Ref_table!E426</f>
        <v>1997</v>
      </c>
      <c r="F3" s="423" t="str">
        <f>Ref_table!F426</f>
        <v>1998</v>
      </c>
      <c r="G3" s="423" t="str">
        <f>Ref_table!G426</f>
        <v>1999</v>
      </c>
      <c r="H3" s="423" t="str">
        <f>Ref_table!H426</f>
        <v>2000</v>
      </c>
      <c r="I3" s="423" t="str">
        <f>Ref_table!I426</f>
        <v>2001</v>
      </c>
      <c r="J3" s="423" t="str">
        <f>Ref_table!J426</f>
        <v>2002</v>
      </c>
      <c r="K3" s="423" t="str">
        <f>Ref_table!K426</f>
        <v>2003</v>
      </c>
      <c r="L3" s="423" t="str">
        <f>Ref_table!L426</f>
        <v>2004</v>
      </c>
      <c r="M3" s="424" t="str">
        <f>Ref_table!M426</f>
        <v>t10 (2005)</v>
      </c>
    </row>
    <row r="4" spans="1:13" ht="15">
      <c r="A4" s="55" t="str">
        <f>Ref_table!A427</f>
        <v>K1</v>
      </c>
      <c r="B4" s="1014" t="str">
        <f>Ref_table!B427</f>
        <v>Virtual or embedded land in "consumed imports", agriculture, km^2</v>
      </c>
      <c r="C4" s="51">
        <f>Ref_table!C427</f>
        <v>203818.87614481695</v>
      </c>
      <c r="D4" s="51">
        <f>Ref_table!D427</f>
        <v>188298.74408890062</v>
      </c>
      <c r="E4" s="51">
        <f>Ref_table!E427</f>
        <v>175781.00012938</v>
      </c>
      <c r="F4" s="51">
        <f>Ref_table!F427</f>
        <v>179111.1336691765</v>
      </c>
      <c r="G4" s="51">
        <f>Ref_table!G427</f>
        <v>187398.5689567091</v>
      </c>
      <c r="H4" s="51">
        <f>Ref_table!H427</f>
        <v>183936.5831156788</v>
      </c>
      <c r="I4" s="51">
        <f>Ref_table!I427</f>
        <v>209298.77472008445</v>
      </c>
      <c r="J4" s="51">
        <f>Ref_table!J427</f>
        <v>221751.93641742234</v>
      </c>
      <c r="K4" s="51">
        <f>Ref_table!K427</f>
        <v>206152.45163295683</v>
      </c>
      <c r="L4" s="51">
        <f>Ref_table!L427</f>
        <v>193786.22127387775</v>
      </c>
      <c r="M4" s="422">
        <f>Ref_table!M427</f>
        <v>185981.9854237055</v>
      </c>
    </row>
    <row r="5" spans="1:13" ht="15">
      <c r="A5" s="55" t="str">
        <f>Ref_table!A428</f>
        <v>K2</v>
      </c>
      <c r="B5" s="1014" t="str">
        <f>Ref_table!B428</f>
        <v>Ecosystem capital degradation in "consumed imports", agriculture &amp; forest, in EPUE</v>
      </c>
      <c r="C5" s="51">
        <f>Ref_table!C428</f>
        <v>4076377.522896339</v>
      </c>
      <c r="D5" s="51">
        <f>Ref_table!D428</f>
        <v>3765974.8817780125</v>
      </c>
      <c r="E5" s="51">
        <f>Ref_table!E428</f>
        <v>3515620.0025876</v>
      </c>
      <c r="F5" s="51">
        <f>Ref_table!F428</f>
        <v>3582222.6733835298</v>
      </c>
      <c r="G5" s="51">
        <f>Ref_table!G428</f>
        <v>3747971.379134182</v>
      </c>
      <c r="H5" s="51">
        <f>Ref_table!H428</f>
        <v>3678731.662313576</v>
      </c>
      <c r="I5" s="51">
        <f>Ref_table!I428</f>
        <v>4185975.4944016887</v>
      </c>
      <c r="J5" s="51">
        <f>Ref_table!J428</f>
        <v>4435038.728348447</v>
      </c>
      <c r="K5" s="51">
        <f>Ref_table!K428</f>
        <v>4123049.0326591367</v>
      </c>
      <c r="L5" s="51">
        <f>Ref_table!L428</f>
        <v>3875724.425477555</v>
      </c>
      <c r="M5" s="422">
        <f>Ref_table!M428</f>
        <v>3719639.7084741103</v>
      </c>
    </row>
    <row r="6" spans="1:13" ht="15">
      <c r="A6" s="55" t="str">
        <f>Ref_table!A429</f>
        <v>K3</v>
      </c>
      <c r="B6" s="1014" t="str">
        <f>Ref_table!B429</f>
        <v>Ecosystem capital degradation in "consumed imports", fisheries, in EPUE</v>
      </c>
      <c r="C6" s="51">
        <f>Ref_table!C429</f>
        <v>370579.7748087581</v>
      </c>
      <c r="D6" s="51">
        <f>Ref_table!D429</f>
        <v>342361.3528889102</v>
      </c>
      <c r="E6" s="51">
        <f>Ref_table!E429</f>
        <v>319601.81841705454</v>
      </c>
      <c r="F6" s="51">
        <f>Ref_table!F429</f>
        <v>325656.60667123</v>
      </c>
      <c r="G6" s="51">
        <f>Ref_table!G429</f>
        <v>340724.6708303802</v>
      </c>
      <c r="H6" s="51">
        <f>Ref_table!H429</f>
        <v>334430.151119416</v>
      </c>
      <c r="I6" s="51">
        <f>Ref_table!I429</f>
        <v>380543.2267637899</v>
      </c>
      <c r="J6" s="51">
        <f>Ref_table!J429</f>
        <v>403185.3389407679</v>
      </c>
      <c r="K6" s="51">
        <f>Ref_table!K429</f>
        <v>374822.6393326488</v>
      </c>
      <c r="L6" s="51">
        <f>Ref_table!L429</f>
        <v>352338.5841343232</v>
      </c>
      <c r="M6" s="422">
        <f>Ref_table!M429</f>
        <v>338149.0644067373</v>
      </c>
    </row>
    <row r="7" spans="1:13" ht="15">
      <c r="A7" s="55" t="str">
        <f>Ref_table!A430</f>
        <v>K4</v>
      </c>
      <c r="B7" s="1014" t="str">
        <f>Ref_table!B430</f>
        <v>Ecosystem capital degradation in "consumed imports", atmosphere CO2-e potential, in EPUE</v>
      </c>
      <c r="C7" s="51">
        <f>Ref_table!C430</f>
        <v>8152755.045792678</v>
      </c>
      <c r="D7" s="51">
        <f>Ref_table!D430</f>
        <v>7531949.763556025</v>
      </c>
      <c r="E7" s="51">
        <f>Ref_table!E430</f>
        <v>7031240.0051752</v>
      </c>
      <c r="F7" s="51">
        <f>Ref_table!F430</f>
        <v>7164445.3467670595</v>
      </c>
      <c r="G7" s="51">
        <f>Ref_table!G430</f>
        <v>7495942.758268364</v>
      </c>
      <c r="H7" s="51">
        <f>Ref_table!H430</f>
        <v>7357463.324627152</v>
      </c>
      <c r="I7" s="51">
        <f>Ref_table!I430</f>
        <v>8371950.988803377</v>
      </c>
      <c r="J7" s="51">
        <f>Ref_table!J430</f>
        <v>8870077.456696894</v>
      </c>
      <c r="K7" s="51">
        <f>Ref_table!K430</f>
        <v>8246098.065318273</v>
      </c>
      <c r="L7" s="51">
        <f>Ref_table!L430</f>
        <v>7751448.85095511</v>
      </c>
      <c r="M7" s="422">
        <f>Ref_table!M430</f>
        <v>7439279.416948221</v>
      </c>
    </row>
    <row r="8" spans="1:13" ht="15">
      <c r="A8" s="55" t="str">
        <f>Ref_table!A431</f>
        <v>K5</v>
      </c>
      <c r="B8" s="1015" t="str">
        <f>Ref_table!B431</f>
        <v>Non paid ecosystem depreciation/ "consumed imports", agriculture &amp; forest, at EU mean price </v>
      </c>
      <c r="C8" s="51">
        <f>Ref_table!C431</f>
        <v>83158.10146708532</v>
      </c>
      <c r="D8" s="51">
        <f>Ref_table!D431</f>
        <v>76825.88758827145</v>
      </c>
      <c r="E8" s="51">
        <f>Ref_table!E431</f>
        <v>73153.0210138428</v>
      </c>
      <c r="F8" s="51">
        <f>Ref_table!F431</f>
        <v>76029.66717551977</v>
      </c>
      <c r="G8" s="51">
        <f>Ref_table!G431</f>
        <v>81138.49511068781</v>
      </c>
      <c r="H8" s="51">
        <f>Ref_table!H431</f>
        <v>81232.34016968888</v>
      </c>
      <c r="I8" s="51">
        <f>Ref_table!I431</f>
        <v>94281.76579510448</v>
      </c>
      <c r="J8" s="51">
        <f>Ref_table!J431</f>
        <v>101889.308454467</v>
      </c>
      <c r="K8" s="51">
        <f>Ref_table!K431</f>
        <v>96616.18154894788</v>
      </c>
      <c r="L8" s="51">
        <f>Ref_table!L431</f>
        <v>92636.98917832402</v>
      </c>
      <c r="M8" s="422">
        <f>Ref_table!M431</f>
        <v>90684.40098041731</v>
      </c>
    </row>
    <row r="9" spans="1:13" ht="15">
      <c r="A9" s="55" t="str">
        <f>Ref_table!A432</f>
        <v>K6</v>
      </c>
      <c r="B9" s="1015" t="str">
        <f>Ref_table!B432</f>
        <v>Non paid ecosystem depreciation/ "consumed imports", fisheries potential</v>
      </c>
      <c r="C9" s="51">
        <f>Ref_table!C432</f>
        <v>1848.0000000000002</v>
      </c>
      <c r="D9" s="51">
        <f>Ref_table!D432</f>
        <v>1884.9600000000003</v>
      </c>
      <c r="E9" s="51">
        <f>Ref_table!E432</f>
        <v>1922.6592000000003</v>
      </c>
      <c r="F9" s="51">
        <f>Ref_table!F432</f>
        <v>1961.1123840000002</v>
      </c>
      <c r="G9" s="51">
        <f>Ref_table!G432</f>
        <v>2000.3346316800003</v>
      </c>
      <c r="H9" s="51">
        <f>Ref_table!H432</f>
        <v>2040.3413243136004</v>
      </c>
      <c r="I9" s="51">
        <f>Ref_table!I432</f>
        <v>2081.1481507998724</v>
      </c>
      <c r="J9" s="51">
        <f>Ref_table!J432</f>
        <v>2122.7711138158697</v>
      </c>
      <c r="K9" s="51">
        <f>Ref_table!K432</f>
        <v>2165.226536092187</v>
      </c>
      <c r="L9" s="51">
        <f>Ref_table!L432</f>
        <v>2208.531066814031</v>
      </c>
      <c r="M9" s="422">
        <f>Ref_table!M432</f>
        <v>2252.701688150312</v>
      </c>
    </row>
    <row r="10" spans="1:13" ht="15">
      <c r="A10" s="55" t="str">
        <f>Ref_table!A433</f>
        <v>K7</v>
      </c>
      <c r="B10" s="1015" t="str">
        <f>Ref_table!B433</f>
        <v>Non paid ecosystem depreciation/ "consumed imports", CO2-e potential</v>
      </c>
      <c r="C10" s="51">
        <f>Ref_table!C433</f>
        <v>29678.066499656292</v>
      </c>
      <c r="D10" s="51">
        <f>Ref_table!D433</f>
        <v>31161.96982463911</v>
      </c>
      <c r="E10" s="51">
        <f>Ref_table!E433</f>
        <v>32720.068315871067</v>
      </c>
      <c r="F10" s="51">
        <f>Ref_table!F433</f>
        <v>34356.07173166462</v>
      </c>
      <c r="G10" s="51">
        <f>Ref_table!G433</f>
        <v>36073.875318247854</v>
      </c>
      <c r="H10" s="51">
        <f>Ref_table!H433</f>
        <v>37877.56908416025</v>
      </c>
      <c r="I10" s="51">
        <f>Ref_table!I433</f>
        <v>39771.447538368266</v>
      </c>
      <c r="J10" s="51">
        <f>Ref_table!J433</f>
        <v>41760.01991528668</v>
      </c>
      <c r="K10" s="51">
        <f>Ref_table!K433</f>
        <v>43848.02091105101</v>
      </c>
      <c r="L10" s="51">
        <f>Ref_table!L433</f>
        <v>46040.42195660356</v>
      </c>
      <c r="M10" s="422">
        <f>Ref_table!M433</f>
        <v>48342.44305443374</v>
      </c>
    </row>
    <row r="11" spans="1:13" ht="15.75">
      <c r="A11" s="295" t="str">
        <f>Ref_table!A434</f>
        <v>K8</v>
      </c>
      <c r="B11" s="1016" t="str">
        <f>Ref_table!B434</f>
        <v>Ecosystem capital depreciation virtually embedded into imports (total)</v>
      </c>
      <c r="C11" s="494">
        <f>Ref_table!C434</f>
        <v>114684.1679667416</v>
      </c>
      <c r="D11" s="494">
        <f>Ref_table!D434</f>
        <v>109872.81741291056</v>
      </c>
      <c r="E11" s="494">
        <f>Ref_table!E434</f>
        <v>107795.74852971386</v>
      </c>
      <c r="F11" s="494">
        <f>Ref_table!F434</f>
        <v>112346.8512911844</v>
      </c>
      <c r="G11" s="494">
        <f>Ref_table!G434</f>
        <v>119212.70506061567</v>
      </c>
      <c r="H11" s="494">
        <f>Ref_table!H434</f>
        <v>121150.25057816273</v>
      </c>
      <c r="I11" s="494">
        <f>Ref_table!I434</f>
        <v>136134.3614842726</v>
      </c>
      <c r="J11" s="494">
        <f>Ref_table!J434</f>
        <v>145772.09948356953</v>
      </c>
      <c r="K11" s="495">
        <f>Ref_table!K434</f>
        <v>142629.42899609107</v>
      </c>
      <c r="L11" s="494">
        <f>Ref_table!L434</f>
        <v>140885.94220174162</v>
      </c>
      <c r="M11" s="496">
        <f>Ref_table!M434</f>
        <v>141279.54572300136</v>
      </c>
    </row>
    <row r="12" spans="1:13" ht="15">
      <c r="A12" s="203">
        <f>Ref_table!A435</f>
        <v>0</v>
      </c>
      <c r="B12" s="25">
        <f>Ref_table!B435</f>
        <v>0</v>
      </c>
      <c r="C12" s="281">
        <f>Ref_table!C435</f>
        <v>0</v>
      </c>
      <c r="D12" s="281">
        <f>Ref_table!D435</f>
        <v>0</v>
      </c>
      <c r="E12" s="281">
        <f>Ref_table!E435</f>
        <v>0</v>
      </c>
      <c r="F12" s="281">
        <f>Ref_table!F435</f>
        <v>0</v>
      </c>
      <c r="G12" s="281">
        <f>Ref_table!G435</f>
        <v>0</v>
      </c>
      <c r="H12" s="281">
        <f>Ref_table!H435</f>
        <v>0</v>
      </c>
      <c r="I12" s="15">
        <f>Ref_table!I435</f>
        <v>0</v>
      </c>
      <c r="J12" s="13">
        <f>Ref_table!J435</f>
        <v>0</v>
      </c>
      <c r="K12" s="15">
        <f>Ref_table!K435</f>
        <v>0</v>
      </c>
      <c r="L12" s="16">
        <f>Ref_table!L435</f>
        <v>0</v>
      </c>
      <c r="M12" s="340">
        <f>Ref_table!M435</f>
        <v>0</v>
      </c>
    </row>
    <row r="13" spans="1:13" ht="16.5" thickBot="1">
      <c r="A13" s="434" t="str">
        <f>Ref_table!A436</f>
        <v>K9</v>
      </c>
      <c r="B13" s="1017" t="str">
        <f>Ref_table!B436</f>
        <v>Ecosystem capital depreciation virtually embedded into exports (total)</v>
      </c>
      <c r="C13" s="1018">
        <f>Ref_table!C436</f>
        <v>57342.0839833708</v>
      </c>
      <c r="D13" s="498">
        <f>Ref_table!D436</f>
        <v>54936.40870645528</v>
      </c>
      <c r="E13" s="498">
        <f>Ref_table!E436</f>
        <v>53897.87426485693</v>
      </c>
      <c r="F13" s="498">
        <f>Ref_table!F436</f>
        <v>56173.4256455922</v>
      </c>
      <c r="G13" s="498">
        <f>Ref_table!G436</f>
        <v>59606.352530307835</v>
      </c>
      <c r="H13" s="498">
        <f>Ref_table!H436</f>
        <v>60575.12528908136</v>
      </c>
      <c r="I13" s="498">
        <f>Ref_table!I436</f>
        <v>68067.1807421363</v>
      </c>
      <c r="J13" s="498">
        <f>Ref_table!J436</f>
        <v>72886.04974178477</v>
      </c>
      <c r="K13" s="498">
        <f>Ref_table!K436</f>
        <v>71314.71449804553</v>
      </c>
      <c r="L13" s="498">
        <f>Ref_table!L436</f>
        <v>70442.97110087081</v>
      </c>
      <c r="M13" s="498">
        <f>Ref_table!M436</f>
        <v>70639.77286150068</v>
      </c>
    </row>
    <row r="14" ht="15">
      <c r="A14" s="93"/>
    </row>
    <row r="15" ht="15">
      <c r="A15" s="93"/>
    </row>
    <row r="16" ht="15">
      <c r="A16" s="93"/>
    </row>
    <row r="17" ht="15">
      <c r="A17" s="93"/>
    </row>
  </sheetData>
  <sheetProtection/>
  <mergeCells count="1">
    <mergeCell ref="A3:B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S18"/>
  <sheetViews>
    <sheetView showZeros="0" zoomScale="60" zoomScaleNormal="60" zoomScalePageLayoutView="0" workbookViewId="0" topLeftCell="A1">
      <selection activeCell="H33" sqref="H33:I33"/>
    </sheetView>
  </sheetViews>
  <sheetFormatPr defaultColWidth="9.140625" defaultRowHeight="15"/>
  <cols>
    <col min="1" max="1" width="15.8515625" style="0" customWidth="1"/>
    <col min="2" max="2" width="99.7109375" style="0" customWidth="1"/>
    <col min="3" max="3" width="12.421875" style="0" customWidth="1"/>
    <col min="4" max="4" width="13.7109375" style="0" customWidth="1"/>
    <col min="5" max="5" width="14.8515625" style="0" customWidth="1"/>
    <col min="6" max="6" width="11.7109375" style="0" customWidth="1"/>
    <col min="7" max="7" width="13.8515625" style="0" customWidth="1"/>
    <col min="8" max="9" width="12.57421875" style="0" customWidth="1"/>
    <col min="10" max="10" width="14.140625" style="0" customWidth="1"/>
    <col min="11" max="11" width="15.00390625" style="0" customWidth="1"/>
    <col min="12" max="12" width="12.00390625" style="0" customWidth="1"/>
    <col min="13" max="13" width="14.140625" style="0" customWidth="1"/>
    <col min="14" max="14" width="12.00390625" style="0" customWidth="1"/>
    <col min="15" max="15" width="12.7109375" style="0" customWidth="1"/>
    <col min="16" max="17" width="17.7109375" style="0" customWidth="1"/>
    <col min="18" max="18" width="16.421875" style="0" customWidth="1"/>
  </cols>
  <sheetData>
    <row r="1" ht="15">
      <c r="A1" t="str">
        <f>'Table K - ImpExp'!A1</f>
        <v>SECA - Simplified Ecosystem Capital Accounts</v>
      </c>
    </row>
    <row r="2" ht="15.75" thickBot="1">
      <c r="A2" s="93" t="str">
        <f>'Table K - ImpExp'!A2</f>
        <v>Draft Tables and Mock-up</v>
      </c>
    </row>
    <row r="3" spans="1:19" ht="114" customHeight="1">
      <c r="A3" s="1036" t="str">
        <f>Ref_table!A438</f>
        <v>[L] Sustainable Ecosystem Services Macro-economic Benefits: 
Degradation Adjusted Total Induced Value Added in 10^6 € (by ISIC) 
</v>
      </c>
      <c r="B3" s="1072">
        <f>Ref_table!B438</f>
        <v>0</v>
      </c>
      <c r="C3" s="632" t="str">
        <f>Ref_table!C438</f>
        <v>Agriculture</v>
      </c>
      <c r="D3" s="632" t="str">
        <f>Ref_table!D438</f>
        <v>Forestry</v>
      </c>
      <c r="E3" s="632" t="str">
        <f>Ref_table!E438</f>
        <v>Fishing </v>
      </c>
      <c r="F3" s="632" t="str">
        <f>Ref_table!F438</f>
        <v>Mining and quarrying </v>
      </c>
      <c r="G3" s="632" t="str">
        <f>Ref_table!G438</f>
        <v>Manufacturing/ argo-food</v>
      </c>
      <c r="H3" s="632" t="str">
        <f>Ref_table!H438</f>
        <v>Manufacturing/ chemistry</v>
      </c>
      <c r="I3" s="632" t="str">
        <f>Ref_table!I438</f>
        <v>Manufacturing other</v>
      </c>
      <c r="J3" s="632" t="str">
        <f>Ref_table!J438</f>
        <v>Electricity, gas… distribution</v>
      </c>
      <c r="K3" s="632" t="str">
        <f>Ref_table!K438</f>
        <v>Water supply; sewerage, waste management …</v>
      </c>
      <c r="L3" s="632" t="str">
        <f>Ref_table!L438</f>
        <v>Construction </v>
      </c>
      <c r="M3" s="632" t="str">
        <f>Ref_table!M438</f>
        <v>Wholesale and retail trade; …</v>
      </c>
      <c r="N3" s="632" t="str">
        <f>Ref_table!N438</f>
        <v>Transportation and storage </v>
      </c>
      <c r="O3" s="632" t="str">
        <f>Ref_table!O438</f>
        <v>Accommodation and food service</v>
      </c>
      <c r="P3" s="632" t="str">
        <f>Ref_table!P438</f>
        <v>Other services</v>
      </c>
      <c r="Q3" s="632" t="str">
        <f>Ref_table!Q438</f>
        <v>Households production for own use</v>
      </c>
      <c r="R3" s="633" t="str">
        <f>Ref_table!R438</f>
        <v>TOTAL</v>
      </c>
      <c r="S3" s="93"/>
    </row>
    <row r="4" spans="1:19" ht="15">
      <c r="A4" s="583" t="str">
        <f>Ref_table!A439</f>
        <v>L1</v>
      </c>
      <c r="B4" s="92" t="str">
        <f>Ref_table!B439</f>
        <v>Primary production, basic price</v>
      </c>
      <c r="C4" s="4">
        <f>Ref_table!C439</f>
        <v>0</v>
      </c>
      <c r="D4" s="4">
        <f>Ref_table!D439</f>
        <v>0</v>
      </c>
      <c r="E4" s="4">
        <f>Ref_table!E439</f>
        <v>0</v>
      </c>
      <c r="F4" s="4">
        <f>Ref_table!F439</f>
        <v>0</v>
      </c>
      <c r="G4" s="4">
        <f>Ref_table!G439</f>
        <v>0</v>
      </c>
      <c r="H4" s="4">
        <f>Ref_table!H439</f>
        <v>0</v>
      </c>
      <c r="I4" s="9">
        <f>Ref_table!I439</f>
        <v>0</v>
      </c>
      <c r="J4" s="4">
        <f>Ref_table!J439</f>
        <v>0</v>
      </c>
      <c r="K4" s="575">
        <f>Ref_table!K439</f>
        <v>0</v>
      </c>
      <c r="L4" s="4">
        <f>Ref_table!L439</f>
        <v>0</v>
      </c>
      <c r="M4" s="4">
        <f>Ref_table!M439</f>
        <v>0</v>
      </c>
      <c r="N4" s="4">
        <f>Ref_table!N439</f>
        <v>0</v>
      </c>
      <c r="O4" s="1">
        <f>Ref_table!O439</f>
        <v>0</v>
      </c>
      <c r="P4" s="1">
        <f>Ref_table!P439</f>
        <v>0</v>
      </c>
      <c r="Q4" s="1">
        <f>Ref_table!Q439</f>
        <v>0</v>
      </c>
      <c r="R4" s="634">
        <f>Ref_table!R439</f>
        <v>0</v>
      </c>
      <c r="S4" s="93"/>
    </row>
    <row r="5" spans="1:19" ht="15.75">
      <c r="A5" s="615" t="str">
        <f>Ref_table!A440</f>
        <v>L2</v>
      </c>
      <c r="B5" s="574" t="str">
        <f>Ref_table!B440</f>
        <v>Value added of primary production </v>
      </c>
      <c r="C5" s="139">
        <f>Ref_table!C440</f>
        <v>0</v>
      </c>
      <c r="D5" s="139">
        <f>Ref_table!D440</f>
        <v>0</v>
      </c>
      <c r="E5" s="139">
        <f>Ref_table!E440</f>
        <v>0</v>
      </c>
      <c r="F5" s="139">
        <f>Ref_table!F440</f>
        <v>0</v>
      </c>
      <c r="G5" s="139">
        <f>Ref_table!G440</f>
        <v>0</v>
      </c>
      <c r="H5" s="139">
        <f>Ref_table!H440</f>
        <v>0</v>
      </c>
      <c r="I5" s="287">
        <f>Ref_table!I440</f>
        <v>0</v>
      </c>
      <c r="J5" s="139">
        <f>Ref_table!J440</f>
        <v>0</v>
      </c>
      <c r="K5" s="139">
        <f>Ref_table!K440</f>
        <v>0</v>
      </c>
      <c r="L5" s="139">
        <f>Ref_table!L440</f>
        <v>0</v>
      </c>
      <c r="M5" s="139">
        <f>Ref_table!M440</f>
        <v>0</v>
      </c>
      <c r="N5" s="139">
        <f>Ref_table!N440</f>
        <v>0</v>
      </c>
      <c r="O5" s="587">
        <f>Ref_table!O440</f>
        <v>0</v>
      </c>
      <c r="P5" s="587">
        <f>Ref_table!P440</f>
        <v>0</v>
      </c>
      <c r="Q5" s="587">
        <f>Ref_table!Q440</f>
        <v>0</v>
      </c>
      <c r="R5" s="635">
        <f>Ref_table!R440</f>
        <v>0</v>
      </c>
      <c r="S5" s="93"/>
    </row>
    <row r="6" spans="1:19" ht="15">
      <c r="A6" s="583" t="str">
        <f>Ref_table!A441</f>
        <v>L3</v>
      </c>
      <c r="B6" s="19" t="str">
        <f>Ref_table!B441</f>
        <v>Subsidies to primary production</v>
      </c>
      <c r="C6" s="92">
        <f>Ref_table!C441</f>
        <v>0</v>
      </c>
      <c r="D6" s="92">
        <f>Ref_table!D441</f>
        <v>0</v>
      </c>
      <c r="E6" s="92">
        <f>Ref_table!E441</f>
        <v>0</v>
      </c>
      <c r="F6" s="92">
        <f>Ref_table!F441</f>
        <v>0</v>
      </c>
      <c r="G6" s="92">
        <f>Ref_table!G441</f>
        <v>0</v>
      </c>
      <c r="H6" s="92">
        <f>Ref_table!H441</f>
        <v>0</v>
      </c>
      <c r="I6" s="31">
        <f>Ref_table!I441</f>
        <v>0</v>
      </c>
      <c r="J6" s="92">
        <f>Ref_table!J441</f>
        <v>0</v>
      </c>
      <c r="K6" s="31">
        <f>Ref_table!K441</f>
        <v>0</v>
      </c>
      <c r="L6" s="92">
        <f>Ref_table!L441</f>
        <v>0</v>
      </c>
      <c r="M6" s="92">
        <f>Ref_table!M441</f>
        <v>0</v>
      </c>
      <c r="N6" s="92">
        <f>Ref_table!N441</f>
        <v>0</v>
      </c>
      <c r="O6" s="92">
        <f>Ref_table!O441</f>
        <v>0</v>
      </c>
      <c r="P6" s="92">
        <f>Ref_table!P441</f>
        <v>0</v>
      </c>
      <c r="Q6" s="92">
        <f>Ref_table!Q441</f>
        <v>0</v>
      </c>
      <c r="R6" s="561">
        <f>Ref_table!R441</f>
        <v>0</v>
      </c>
      <c r="S6" s="93"/>
    </row>
    <row r="7" spans="1:19" ht="15.75">
      <c r="A7" s="615" t="str">
        <f>Ref_table!A442</f>
        <v>L4</v>
      </c>
      <c r="B7" s="574" t="str">
        <f>Ref_table!B442</f>
        <v>Ecosystem capital degradation resulting from economic exploitation %</v>
      </c>
      <c r="C7" s="139">
        <f>Ref_table!C442</f>
        <v>0</v>
      </c>
      <c r="D7" s="139">
        <f>Ref_table!D442</f>
        <v>0</v>
      </c>
      <c r="E7" s="139">
        <f>Ref_table!E442</f>
        <v>0</v>
      </c>
      <c r="F7" s="139">
        <f>Ref_table!F442</f>
        <v>0</v>
      </c>
      <c r="G7" s="139">
        <f>Ref_table!G442</f>
        <v>0</v>
      </c>
      <c r="H7" s="139">
        <f>Ref_table!H442</f>
        <v>0</v>
      </c>
      <c r="I7" s="287">
        <f>Ref_table!I442</f>
        <v>0</v>
      </c>
      <c r="J7" s="139">
        <f>Ref_table!J442</f>
        <v>0</v>
      </c>
      <c r="K7" s="139">
        <f>Ref_table!K442</f>
        <v>0</v>
      </c>
      <c r="L7" s="139">
        <f>Ref_table!L442</f>
        <v>0</v>
      </c>
      <c r="M7" s="139">
        <f>Ref_table!M442</f>
        <v>0</v>
      </c>
      <c r="N7" s="139">
        <f>Ref_table!N442</f>
        <v>0</v>
      </c>
      <c r="O7" s="587">
        <f>Ref_table!O442</f>
        <v>0</v>
      </c>
      <c r="P7" s="587">
        <f>Ref_table!P442</f>
        <v>0</v>
      </c>
      <c r="Q7" s="587">
        <f>Ref_table!Q442</f>
        <v>0</v>
      </c>
      <c r="R7" s="635">
        <f>Ref_table!R442</f>
        <v>0</v>
      </c>
      <c r="S7" s="93"/>
    </row>
    <row r="8" spans="1:19" ht="15">
      <c r="A8" s="583" t="str">
        <f>Ref_table!A443</f>
        <v>L5</v>
      </c>
      <c r="B8" s="19" t="str">
        <f>Ref_table!B443</f>
        <v>Total value added induced by primary production of agriculture products</v>
      </c>
      <c r="C8" s="92">
        <f>Ref_table!C443</f>
        <v>0</v>
      </c>
      <c r="D8" s="92">
        <f>Ref_table!D443</f>
        <v>0</v>
      </c>
      <c r="E8" s="92">
        <f>Ref_table!E443</f>
        <v>0</v>
      </c>
      <c r="F8" s="92">
        <f>Ref_table!F443</f>
        <v>0</v>
      </c>
      <c r="G8" s="92">
        <f>Ref_table!G443</f>
        <v>0</v>
      </c>
      <c r="H8" s="92">
        <f>Ref_table!H443</f>
        <v>0</v>
      </c>
      <c r="I8" s="31">
        <f>Ref_table!I443</f>
        <v>0</v>
      </c>
      <c r="J8" s="92">
        <f>Ref_table!J443</f>
        <v>0</v>
      </c>
      <c r="K8" s="31">
        <f>Ref_table!K443</f>
        <v>0</v>
      </c>
      <c r="L8" s="92">
        <f>Ref_table!L443</f>
        <v>0</v>
      </c>
      <c r="M8" s="92">
        <f>Ref_table!M443</f>
        <v>0</v>
      </c>
      <c r="N8" s="92">
        <f>Ref_table!N443</f>
        <v>0</v>
      </c>
      <c r="O8" s="92">
        <f>Ref_table!O443</f>
        <v>0</v>
      </c>
      <c r="P8" s="92">
        <f>Ref_table!P443</f>
        <v>0</v>
      </c>
      <c r="Q8" s="92">
        <f>Ref_table!Q443</f>
        <v>0</v>
      </c>
      <c r="R8" s="561">
        <f>Ref_table!R443</f>
        <v>0</v>
      </c>
      <c r="S8" s="93"/>
    </row>
    <row r="9" spans="1:19" ht="15.75">
      <c r="A9" s="615" t="str">
        <f>Ref_table!A444</f>
        <v>L6</v>
      </c>
      <c r="B9" s="574" t="str">
        <f>Ref_table!B444</f>
        <v>Degradation Adjusted TIVA/  (sustainable TIVA)/ agriculture products</v>
      </c>
      <c r="C9" s="139">
        <f>Ref_table!C444</f>
        <v>0</v>
      </c>
      <c r="D9" s="139">
        <f>Ref_table!D444</f>
        <v>0</v>
      </c>
      <c r="E9" s="139">
        <f>Ref_table!E444</f>
        <v>0</v>
      </c>
      <c r="F9" s="139">
        <f>Ref_table!F444</f>
        <v>0</v>
      </c>
      <c r="G9" s="139">
        <f>Ref_table!G444</f>
        <v>0</v>
      </c>
      <c r="H9" s="139">
        <f>Ref_table!H444</f>
        <v>0</v>
      </c>
      <c r="I9" s="287">
        <f>Ref_table!I444</f>
        <v>0</v>
      </c>
      <c r="J9" s="139">
        <f>Ref_table!J444</f>
        <v>0</v>
      </c>
      <c r="K9" s="139">
        <f>Ref_table!K444</f>
        <v>0</v>
      </c>
      <c r="L9" s="139">
        <f>Ref_table!L444</f>
        <v>0</v>
      </c>
      <c r="M9" s="139">
        <f>Ref_table!M444</f>
        <v>0</v>
      </c>
      <c r="N9" s="139">
        <f>Ref_table!N444</f>
        <v>0</v>
      </c>
      <c r="O9" s="587">
        <f>Ref_table!O444</f>
        <v>0</v>
      </c>
      <c r="P9" s="587">
        <f>Ref_table!P444</f>
        <v>0</v>
      </c>
      <c r="Q9" s="587">
        <f>Ref_table!Q444</f>
        <v>0</v>
      </c>
      <c r="R9" s="635">
        <f>Ref_table!R444</f>
        <v>0</v>
      </c>
      <c r="S9" s="93"/>
    </row>
    <row r="10" spans="1:19" ht="15">
      <c r="A10" s="583" t="str">
        <f>Ref_table!A445</f>
        <v>L7</v>
      </c>
      <c r="B10" s="92" t="str">
        <f>Ref_table!B445</f>
        <v>Total value added induced by primary production of forestry products</v>
      </c>
      <c r="C10" s="4">
        <f>Ref_table!C445</f>
        <v>0</v>
      </c>
      <c r="D10" s="4">
        <f>Ref_table!D445</f>
        <v>0</v>
      </c>
      <c r="E10" s="4">
        <f>Ref_table!E445</f>
        <v>0</v>
      </c>
      <c r="F10" s="4">
        <f>Ref_table!F445</f>
        <v>0</v>
      </c>
      <c r="G10" s="4">
        <f>Ref_table!G445</f>
        <v>0</v>
      </c>
      <c r="H10" s="4">
        <f>Ref_table!H445</f>
        <v>0</v>
      </c>
      <c r="I10" s="9">
        <f>Ref_table!I445</f>
        <v>0</v>
      </c>
      <c r="J10" s="4">
        <f>Ref_table!J445</f>
        <v>0</v>
      </c>
      <c r="K10" s="575">
        <f>Ref_table!K445</f>
        <v>0</v>
      </c>
      <c r="L10" s="4">
        <f>Ref_table!L445</f>
        <v>0</v>
      </c>
      <c r="M10" s="4">
        <f>Ref_table!M445</f>
        <v>0</v>
      </c>
      <c r="N10" s="4">
        <f>Ref_table!N445</f>
        <v>0</v>
      </c>
      <c r="O10" s="1">
        <f>Ref_table!O445</f>
        <v>0</v>
      </c>
      <c r="P10" s="1">
        <f>Ref_table!P445</f>
        <v>0</v>
      </c>
      <c r="Q10" s="1">
        <f>Ref_table!Q445</f>
        <v>0</v>
      </c>
      <c r="R10" s="634">
        <f>Ref_table!R445</f>
        <v>0</v>
      </c>
      <c r="S10" s="93"/>
    </row>
    <row r="11" spans="1:19" ht="15.75">
      <c r="A11" s="615" t="str">
        <f>Ref_table!A446</f>
        <v>L8</v>
      </c>
      <c r="B11" s="574" t="str">
        <f>Ref_table!B446</f>
        <v>Degradation Adjusted TIVA/  (sustainable TIVA)/ forestry products</v>
      </c>
      <c r="C11" s="139">
        <f>Ref_table!C446</f>
        <v>0</v>
      </c>
      <c r="D11" s="139">
        <f>Ref_table!D446</f>
        <v>0</v>
      </c>
      <c r="E11" s="139">
        <f>Ref_table!E446</f>
        <v>0</v>
      </c>
      <c r="F11" s="139">
        <f>Ref_table!F446</f>
        <v>0</v>
      </c>
      <c r="G11" s="139">
        <f>Ref_table!G446</f>
        <v>0</v>
      </c>
      <c r="H11" s="139">
        <f>Ref_table!H446</f>
        <v>0</v>
      </c>
      <c r="I11" s="287">
        <f>Ref_table!I446</f>
        <v>0</v>
      </c>
      <c r="J11" s="139">
        <f>Ref_table!J446</f>
        <v>0</v>
      </c>
      <c r="K11" s="139">
        <f>Ref_table!K446</f>
        <v>0</v>
      </c>
      <c r="L11" s="139">
        <f>Ref_table!L446</f>
        <v>0</v>
      </c>
      <c r="M11" s="139">
        <f>Ref_table!M446</f>
        <v>0</v>
      </c>
      <c r="N11" s="139">
        <f>Ref_table!N446</f>
        <v>0</v>
      </c>
      <c r="O11" s="587">
        <f>Ref_table!O446</f>
        <v>0</v>
      </c>
      <c r="P11" s="587">
        <f>Ref_table!P446</f>
        <v>0</v>
      </c>
      <c r="Q11" s="587">
        <f>Ref_table!Q446</f>
        <v>0</v>
      </c>
      <c r="R11" s="635">
        <f>Ref_table!R446</f>
        <v>0</v>
      </c>
      <c r="S11" s="93"/>
    </row>
    <row r="12" spans="1:19" ht="15">
      <c r="A12" s="583" t="str">
        <f>Ref_table!A447</f>
        <v>L9</v>
      </c>
      <c r="B12" s="92" t="str">
        <f>Ref_table!B447</f>
        <v>Total value added induced by primary production of fishing products</v>
      </c>
      <c r="C12" s="4">
        <f>Ref_table!C447</f>
        <v>0</v>
      </c>
      <c r="D12" s="4">
        <f>Ref_table!D447</f>
        <v>0</v>
      </c>
      <c r="E12" s="4">
        <f>Ref_table!E447</f>
        <v>0</v>
      </c>
      <c r="F12" s="4">
        <f>Ref_table!F447</f>
        <v>0</v>
      </c>
      <c r="G12" s="4">
        <f>Ref_table!G447</f>
        <v>0</v>
      </c>
      <c r="H12" s="4">
        <f>Ref_table!H447</f>
        <v>0</v>
      </c>
      <c r="I12" s="9">
        <f>Ref_table!I447</f>
        <v>0</v>
      </c>
      <c r="J12" s="4">
        <f>Ref_table!J447</f>
        <v>0</v>
      </c>
      <c r="K12" s="575">
        <f>Ref_table!K447</f>
        <v>0</v>
      </c>
      <c r="L12" s="4">
        <f>Ref_table!L447</f>
        <v>0</v>
      </c>
      <c r="M12" s="4">
        <f>Ref_table!M447</f>
        <v>0</v>
      </c>
      <c r="N12" s="4">
        <f>Ref_table!N447</f>
        <v>0</v>
      </c>
      <c r="O12" s="1">
        <f>Ref_table!O447</f>
        <v>0</v>
      </c>
      <c r="P12" s="1">
        <f>Ref_table!P447</f>
        <v>0</v>
      </c>
      <c r="Q12" s="1">
        <f>Ref_table!Q447</f>
        <v>0</v>
      </c>
      <c r="R12" s="634">
        <f>Ref_table!R447</f>
        <v>0</v>
      </c>
      <c r="S12" s="93"/>
    </row>
    <row r="13" spans="1:19" ht="15.75">
      <c r="A13" s="615" t="str">
        <f>Ref_table!A448</f>
        <v>L10</v>
      </c>
      <c r="B13" s="574" t="str">
        <f>Ref_table!B448</f>
        <v>Degradation Adjusted TIVA/  (sustainable TIVA)/ fishing products</v>
      </c>
      <c r="C13" s="139">
        <f>Ref_table!C448</f>
        <v>0</v>
      </c>
      <c r="D13" s="139">
        <f>Ref_table!D448</f>
        <v>0</v>
      </c>
      <c r="E13" s="139">
        <f>Ref_table!E448</f>
        <v>0</v>
      </c>
      <c r="F13" s="139">
        <f>Ref_table!F448</f>
        <v>0</v>
      </c>
      <c r="G13" s="139">
        <f>Ref_table!G448</f>
        <v>0</v>
      </c>
      <c r="H13" s="139">
        <f>Ref_table!H448</f>
        <v>0</v>
      </c>
      <c r="I13" s="287">
        <f>Ref_table!I448</f>
        <v>0</v>
      </c>
      <c r="J13" s="139">
        <f>Ref_table!J448</f>
        <v>0</v>
      </c>
      <c r="K13" s="139">
        <f>Ref_table!K448</f>
        <v>0</v>
      </c>
      <c r="L13" s="139">
        <f>Ref_table!L448</f>
        <v>0</v>
      </c>
      <c r="M13" s="139">
        <f>Ref_table!M448</f>
        <v>0</v>
      </c>
      <c r="N13" s="139">
        <f>Ref_table!N448</f>
        <v>0</v>
      </c>
      <c r="O13" s="587">
        <f>Ref_table!O448</f>
        <v>0</v>
      </c>
      <c r="P13" s="587">
        <f>Ref_table!P448</f>
        <v>0</v>
      </c>
      <c r="Q13" s="587">
        <f>Ref_table!Q448</f>
        <v>0</v>
      </c>
      <c r="R13" s="635">
        <f>Ref_table!R448</f>
        <v>0</v>
      </c>
      <c r="S13" s="93"/>
    </row>
    <row r="14" spans="1:19" ht="15">
      <c r="A14" s="583" t="str">
        <f>Ref_table!A449</f>
        <v>L11</v>
      </c>
      <c r="B14" s="92" t="str">
        <f>Ref_table!B449</f>
        <v>Total value added induced by primary production of fresh water supply</v>
      </c>
      <c r="C14" s="4">
        <f>Ref_table!C449</f>
        <v>0</v>
      </c>
      <c r="D14" s="4">
        <f>Ref_table!D449</f>
        <v>0</v>
      </c>
      <c r="E14" s="4">
        <f>Ref_table!E449</f>
        <v>0</v>
      </c>
      <c r="F14" s="4">
        <f>Ref_table!F449</f>
        <v>0</v>
      </c>
      <c r="G14" s="4">
        <f>Ref_table!G449</f>
        <v>0</v>
      </c>
      <c r="H14" s="4">
        <f>Ref_table!H449</f>
        <v>0</v>
      </c>
      <c r="I14" s="9">
        <f>Ref_table!I449</f>
        <v>0</v>
      </c>
      <c r="J14" s="4">
        <f>Ref_table!J449</f>
        <v>0</v>
      </c>
      <c r="K14" s="575">
        <f>Ref_table!K449</f>
        <v>0</v>
      </c>
      <c r="L14" s="4">
        <f>Ref_table!L449</f>
        <v>0</v>
      </c>
      <c r="M14" s="4">
        <f>Ref_table!M449</f>
        <v>0</v>
      </c>
      <c r="N14" s="4">
        <f>Ref_table!N449</f>
        <v>0</v>
      </c>
      <c r="O14" s="1">
        <f>Ref_table!O449</f>
        <v>0</v>
      </c>
      <c r="P14" s="1">
        <f>Ref_table!P449</f>
        <v>0</v>
      </c>
      <c r="Q14" s="1">
        <f>Ref_table!Q449</f>
        <v>0</v>
      </c>
      <c r="R14" s="634">
        <f>Ref_table!R449</f>
        <v>0</v>
      </c>
      <c r="S14" s="93"/>
    </row>
    <row r="15" spans="1:19" ht="15.75">
      <c r="A15" s="615" t="str">
        <f>Ref_table!A450</f>
        <v>L12</v>
      </c>
      <c r="B15" s="574" t="str">
        <f>Ref_table!B450</f>
        <v>Degradation Adjusted TIVA/  (sustainable TIVA)/ water supply</v>
      </c>
      <c r="C15" s="139">
        <f>Ref_table!C450</f>
        <v>0</v>
      </c>
      <c r="D15" s="139">
        <f>Ref_table!D450</f>
        <v>0</v>
      </c>
      <c r="E15" s="139">
        <f>Ref_table!E450</f>
        <v>0</v>
      </c>
      <c r="F15" s="139">
        <f>Ref_table!F450</f>
        <v>0</v>
      </c>
      <c r="G15" s="139">
        <f>Ref_table!G450</f>
        <v>0</v>
      </c>
      <c r="H15" s="139">
        <f>Ref_table!H450</f>
        <v>0</v>
      </c>
      <c r="I15" s="287">
        <f>Ref_table!I450</f>
        <v>0</v>
      </c>
      <c r="J15" s="139">
        <f>Ref_table!J450</f>
        <v>0</v>
      </c>
      <c r="K15" s="139">
        <f>Ref_table!K450</f>
        <v>0</v>
      </c>
      <c r="L15" s="139">
        <f>Ref_table!L450</f>
        <v>0</v>
      </c>
      <c r="M15" s="139">
        <f>Ref_table!M450</f>
        <v>0</v>
      </c>
      <c r="N15" s="139">
        <f>Ref_table!N450</f>
        <v>0</v>
      </c>
      <c r="O15" s="587">
        <f>Ref_table!O450</f>
        <v>0</v>
      </c>
      <c r="P15" s="587">
        <f>Ref_table!P450</f>
        <v>0</v>
      </c>
      <c r="Q15" s="587">
        <f>Ref_table!Q450</f>
        <v>0</v>
      </c>
      <c r="R15" s="635">
        <f>Ref_table!R450</f>
        <v>0</v>
      </c>
      <c r="S15" s="93"/>
    </row>
    <row r="16" ht="15">
      <c r="A16" s="93"/>
    </row>
    <row r="17" ht="15">
      <c r="A17" s="93"/>
    </row>
    <row r="18" ht="15">
      <c r="A18" s="93"/>
    </row>
  </sheetData>
  <sheetProtection/>
  <mergeCells count="1">
    <mergeCell ref="A3:B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N32"/>
  <sheetViews>
    <sheetView zoomScale="60" zoomScaleNormal="60" zoomScalePageLayoutView="0" workbookViewId="0" topLeftCell="A1">
      <selection activeCell="L35" sqref="L35"/>
    </sheetView>
  </sheetViews>
  <sheetFormatPr defaultColWidth="9.140625" defaultRowHeight="15"/>
  <cols>
    <col min="1" max="1" width="15.8515625" style="0" customWidth="1"/>
    <col min="2" max="2" width="99.7109375" style="0" customWidth="1"/>
    <col min="3" max="3" width="12.421875" style="0" customWidth="1"/>
    <col min="4" max="4" width="13.7109375" style="0" customWidth="1"/>
    <col min="5" max="5" width="14.8515625" style="0" customWidth="1"/>
    <col min="6" max="6" width="11.7109375" style="0" customWidth="1"/>
    <col min="7" max="7" width="13.8515625" style="0" customWidth="1"/>
    <col min="8" max="9" width="12.57421875" style="0" customWidth="1"/>
    <col min="10" max="10" width="14.140625" style="0" customWidth="1"/>
    <col min="11" max="11" width="15.00390625" style="0" customWidth="1"/>
    <col min="12" max="12" width="12.00390625" style="0" customWidth="1"/>
    <col min="13" max="13" width="14.140625" style="0" customWidth="1"/>
  </cols>
  <sheetData>
    <row r="1" ht="15">
      <c r="A1" t="str">
        <f>'Table L - Macro Benef'!A1</f>
        <v>SECA - Simplified Ecosystem Capital Accounts</v>
      </c>
    </row>
    <row r="2" ht="15.75" thickBot="1">
      <c r="A2" s="93" t="str">
        <f>'Table L - Macro Benef'!A2</f>
        <v>Draft Tables and Mock-up</v>
      </c>
    </row>
    <row r="3" spans="1:14" ht="36" customHeight="1">
      <c r="A3" s="1068" t="str">
        <f>Ref_table!A452</f>
        <v>[M] Economic aggregates and additional adjustments for CEC, 10^6 current €, EU27</v>
      </c>
      <c r="B3" s="1069">
        <f>Ref_table!B452</f>
        <v>0</v>
      </c>
      <c r="C3" s="1013" t="str">
        <f>Ref_table!C452</f>
        <v>t1 (1995)</v>
      </c>
      <c r="D3" s="423" t="str">
        <f>Ref_table!D452</f>
        <v>1996</v>
      </c>
      <c r="E3" s="423" t="str">
        <f>Ref_table!E452</f>
        <v>1997</v>
      </c>
      <c r="F3" s="423" t="str">
        <f>Ref_table!F452</f>
        <v>1998</v>
      </c>
      <c r="G3" s="423" t="str">
        <f>Ref_table!G452</f>
        <v>1999</v>
      </c>
      <c r="H3" s="423" t="str">
        <f>Ref_table!H452</f>
        <v>2000</v>
      </c>
      <c r="I3" s="423" t="str">
        <f>Ref_table!I452</f>
        <v>2001</v>
      </c>
      <c r="J3" s="423" t="str">
        <f>Ref_table!J452</f>
        <v>2002</v>
      </c>
      <c r="K3" s="423" t="str">
        <f>Ref_table!K452</f>
        <v>2003</v>
      </c>
      <c r="L3" s="423" t="str">
        <f>Ref_table!L452</f>
        <v>2004</v>
      </c>
      <c r="M3" s="424" t="str">
        <f>Ref_table!M452</f>
        <v>t10 (2005)</v>
      </c>
      <c r="N3" s="93"/>
    </row>
    <row r="4" spans="1:14" ht="15">
      <c r="A4" s="972" t="str">
        <f>Ref_table!A453</f>
        <v>M01</v>
      </c>
      <c r="B4" s="131" t="str">
        <f>Ref_table!B453</f>
        <v>GDP</v>
      </c>
      <c r="C4" s="34">
        <f>Ref_table!C453</f>
        <v>7019742</v>
      </c>
      <c r="D4" s="34">
        <f>Ref_table!D453</f>
        <v>7382819</v>
      </c>
      <c r="E4" s="34">
        <f>Ref_table!E453</f>
        <v>7793272</v>
      </c>
      <c r="F4" s="34">
        <f>Ref_table!F453</f>
        <v>8164530</v>
      </c>
      <c r="G4" s="34">
        <f>Ref_table!G453</f>
        <v>8588753</v>
      </c>
      <c r="H4" s="34">
        <f>Ref_table!H453</f>
        <v>9207404</v>
      </c>
      <c r="I4" s="34">
        <f>Ref_table!I453</f>
        <v>9586447</v>
      </c>
      <c r="J4" s="34">
        <f>Ref_table!J453</f>
        <v>9944597</v>
      </c>
      <c r="K4" s="34">
        <f>Ref_table!K453</f>
        <v>10111544</v>
      </c>
      <c r="L4" s="34">
        <f>Ref_table!L453</f>
        <v>10612197</v>
      </c>
      <c r="M4" s="913">
        <f>Ref_table!M453</f>
        <v>11063507</v>
      </c>
      <c r="N4" s="93"/>
    </row>
    <row r="5" spans="1:14" ht="15">
      <c r="A5" s="972" t="str">
        <f>Ref_table!A454</f>
        <v>M02</v>
      </c>
      <c r="B5" s="922" t="str">
        <f>Ref_table!B454</f>
        <v>Final Consumption</v>
      </c>
      <c r="C5" s="418">
        <f>Ref_table!C454</f>
        <v>5502801</v>
      </c>
      <c r="D5" s="418">
        <f>Ref_table!D454</f>
        <v>5814430</v>
      </c>
      <c r="E5" s="418">
        <f>Ref_table!E454</f>
        <v>6103147</v>
      </c>
      <c r="F5" s="10">
        <f>Ref_table!F454</f>
        <v>6371519.9</v>
      </c>
      <c r="G5" s="10">
        <f>Ref_table!G454</f>
        <v>6730782.2</v>
      </c>
      <c r="H5" s="10">
        <f>Ref_table!H454</f>
        <v>7232263.3</v>
      </c>
      <c r="I5" s="10">
        <f>Ref_table!I454</f>
        <v>7554659.9</v>
      </c>
      <c r="J5" s="10">
        <f>Ref_table!J454</f>
        <v>7854974.1</v>
      </c>
      <c r="K5" s="10">
        <f>Ref_table!K454</f>
        <v>8013701.3</v>
      </c>
      <c r="L5" s="10">
        <f>Ref_table!L454</f>
        <v>8375158.6</v>
      </c>
      <c r="M5" s="420">
        <f>Ref_table!M454</f>
        <v>8759168.2</v>
      </c>
      <c r="N5" s="93"/>
    </row>
    <row r="6" spans="1:14" ht="15">
      <c r="A6" s="972" t="str">
        <f>Ref_table!A455</f>
        <v>M03</v>
      </c>
      <c r="B6" s="922" t="str">
        <f>Ref_table!B455</f>
        <v>Imports CIF</v>
      </c>
      <c r="C6" s="361">
        <f>Ref_table!C455</f>
        <v>627686.3502276154</v>
      </c>
      <c r="D6" s="361">
        <f>Ref_table!D455</f>
        <v>642100.2222966002</v>
      </c>
      <c r="E6" s="361">
        <f>Ref_table!E455</f>
        <v>673983.8720921619</v>
      </c>
      <c r="F6" s="361">
        <f>Ref_table!F455</f>
        <v>703620.8784278446</v>
      </c>
      <c r="G6" s="34">
        <f>Ref_table!G455</f>
        <v>743295</v>
      </c>
      <c r="H6" s="28">
        <f>Ref_table!H455</f>
        <v>992695</v>
      </c>
      <c r="I6" s="28">
        <f>Ref_table!I455</f>
        <v>979143</v>
      </c>
      <c r="J6" s="28">
        <f>Ref_table!J455</f>
        <v>936967</v>
      </c>
      <c r="K6" s="28">
        <f>Ref_table!K455</f>
        <v>935265</v>
      </c>
      <c r="L6" s="28">
        <f>Ref_table!L455</f>
        <v>1027522</v>
      </c>
      <c r="M6" s="421">
        <f>Ref_table!M455</f>
        <v>1179569</v>
      </c>
      <c r="N6" s="93"/>
    </row>
    <row r="7" spans="1:14" ht="15">
      <c r="A7" s="972" t="str">
        <f>Ref_table!A456</f>
        <v>M04</v>
      </c>
      <c r="B7" s="922" t="str">
        <f>Ref_table!B456</f>
        <v>Exports FOB</v>
      </c>
      <c r="C7" s="361">
        <f>Ref_table!C456</f>
        <v>578295.997636211</v>
      </c>
      <c r="D7" s="361">
        <f>Ref_table!D456</f>
        <v>587172.3346773391</v>
      </c>
      <c r="E7" s="361">
        <f>Ref_table!E456</f>
        <v>619816.5924175489</v>
      </c>
      <c r="F7" s="361">
        <f>Ref_table!F456</f>
        <v>649343.5829380587</v>
      </c>
      <c r="G7" s="28">
        <f>Ref_table!G456</f>
        <v>683083</v>
      </c>
      <c r="H7" s="28">
        <f>Ref_table!H456</f>
        <v>849740</v>
      </c>
      <c r="I7" s="28">
        <f>Ref_table!I456</f>
        <v>884707</v>
      </c>
      <c r="J7" s="28">
        <f>Ref_table!J456</f>
        <v>891899</v>
      </c>
      <c r="K7" s="28">
        <f>Ref_table!K456</f>
        <v>869237</v>
      </c>
      <c r="L7" s="28">
        <f>Ref_table!L456</f>
        <v>952955</v>
      </c>
      <c r="M7" s="421">
        <f>Ref_table!M456</f>
        <v>1052720</v>
      </c>
      <c r="N7" s="93"/>
    </row>
    <row r="8" spans="1:14" ht="15">
      <c r="A8" s="973" t="str">
        <f>Ref_table!A457</f>
        <v>M05</v>
      </c>
      <c r="B8" s="923" t="str">
        <f>Ref_table!B457</f>
        <v>Consumption of Fixed Capital</v>
      </c>
      <c r="C8" s="133">
        <f>Ref_table!C457</f>
        <v>962481.2820341389</v>
      </c>
      <c r="D8" s="133">
        <f>Ref_table!D457</f>
        <v>1012263</v>
      </c>
      <c r="E8" s="133">
        <f>Ref_table!E457</f>
        <v>1058244</v>
      </c>
      <c r="F8" s="133">
        <f>Ref_table!F457</f>
        <v>1100919</v>
      </c>
      <c r="G8" s="133">
        <f>Ref_table!G457</f>
        <v>1165998</v>
      </c>
      <c r="H8" s="133">
        <f>Ref_table!H457</f>
        <v>1257238</v>
      </c>
      <c r="I8" s="133">
        <f>Ref_table!I457</f>
        <v>1317361</v>
      </c>
      <c r="J8" s="133">
        <f>Ref_table!J457</f>
        <v>1371049</v>
      </c>
      <c r="K8" s="133">
        <f>Ref_table!K457</f>
        <v>1391874</v>
      </c>
      <c r="L8" s="133">
        <f>Ref_table!L457</f>
        <v>1468747</v>
      </c>
      <c r="M8" s="974">
        <f>Ref_table!M457</f>
        <v>1539860</v>
      </c>
      <c r="N8" s="93"/>
    </row>
    <row r="9" spans="1:14" ht="8.25" customHeight="1">
      <c r="A9" s="203"/>
      <c r="B9" s="13"/>
      <c r="C9" s="281"/>
      <c r="D9" s="281"/>
      <c r="E9" s="281"/>
      <c r="F9" s="281"/>
      <c r="G9" s="281"/>
      <c r="H9" s="281"/>
      <c r="I9" s="15"/>
      <c r="J9" s="13"/>
      <c r="K9" s="15"/>
      <c r="L9" s="16"/>
      <c r="M9" s="340"/>
      <c r="N9" s="93"/>
    </row>
    <row r="10" spans="1:14" ht="15">
      <c r="A10" s="1065" t="str">
        <f>Ref_table!A459</f>
        <v>Consumption of Ecosystem Capital </v>
      </c>
      <c r="B10" s="1066">
        <f>Ref_table!B459</f>
        <v>0</v>
      </c>
      <c r="C10" s="1066">
        <f>Ref_table!C459</f>
        <v>0</v>
      </c>
      <c r="D10" s="1066">
        <f>Ref_table!D459</f>
        <v>0</v>
      </c>
      <c r="E10" s="1066">
        <f>Ref_table!E459</f>
        <v>0</v>
      </c>
      <c r="F10" s="1066">
        <f>Ref_table!F459</f>
        <v>0</v>
      </c>
      <c r="G10" s="1066">
        <f>Ref_table!G459</f>
        <v>0</v>
      </c>
      <c r="H10" s="1066">
        <f>Ref_table!H459</f>
        <v>0</v>
      </c>
      <c r="I10" s="1066">
        <f>Ref_table!I459</f>
        <v>0</v>
      </c>
      <c r="J10" s="1066">
        <f>Ref_table!J459</f>
        <v>0</v>
      </c>
      <c r="K10" s="1066">
        <f>Ref_table!K459</f>
        <v>0</v>
      </c>
      <c r="L10" s="1066">
        <f>Ref_table!L459</f>
        <v>0</v>
      </c>
      <c r="M10" s="1067">
        <f>Ref_table!M459</f>
        <v>0</v>
      </c>
      <c r="N10" s="93"/>
    </row>
    <row r="11" spans="1:14" ht="15.75">
      <c r="A11" s="615" t="str">
        <f>Ref_table!A460</f>
        <v>M1</v>
      </c>
      <c r="B11" s="924" t="str">
        <f>Ref_table!B460</f>
        <v>Territorial Consumption of Ecosystem Capital (TCEC) (M1=J1)</v>
      </c>
      <c r="C11" s="410">
        <f>Ref_table!C460</f>
        <v>121193.23663813906</v>
      </c>
      <c r="D11" s="410">
        <f>Ref_table!D460</f>
        <v>210819.59543035316</v>
      </c>
      <c r="E11" s="410">
        <f>Ref_table!E460</f>
        <v>222540.2586896278</v>
      </c>
      <c r="F11" s="410">
        <f>Ref_table!F460</f>
        <v>233141.69174118742</v>
      </c>
      <c r="G11" s="410">
        <f>Ref_table!G460</f>
        <v>245255.56331683497</v>
      </c>
      <c r="H11" s="410">
        <f>Ref_table!H460</f>
        <v>262921.4106757616</v>
      </c>
      <c r="I11" s="410">
        <f>Ref_table!I460</f>
        <v>273745.14777546667</v>
      </c>
      <c r="J11" s="410">
        <f>Ref_table!J460</f>
        <v>283972.27620748983</v>
      </c>
      <c r="K11" s="410">
        <f>Ref_table!K460</f>
        <v>288739.5201285871</v>
      </c>
      <c r="L11" s="410">
        <f>Ref_table!L460</f>
        <v>303035.88347042067</v>
      </c>
      <c r="M11" s="593">
        <f>Ref_table!M460</f>
        <v>315923.23606753466</v>
      </c>
      <c r="N11" s="93"/>
    </row>
    <row r="12" spans="1:14" ht="15">
      <c r="A12" s="975" t="str">
        <f>Ref_table!A461</f>
        <v>m11=J1/land</v>
      </c>
      <c r="B12" s="890" t="str">
        <f>Ref_table!B461</f>
        <v>Territorial Consumption of Ecosystem Capital, in 10^6 € - Inland ecosystems</v>
      </c>
      <c r="C12" s="935">
        <f>Ref_table!C461</f>
        <v>41934.698897757095</v>
      </c>
      <c r="D12" s="935">
        <f>Ref_table!D461</f>
        <v>127461.62610015427</v>
      </c>
      <c r="E12" s="935">
        <f>Ref_table!E461</f>
        <v>134547.94459417215</v>
      </c>
      <c r="F12" s="935">
        <f>Ref_table!F461</f>
        <v>140957.57598059665</v>
      </c>
      <c r="G12" s="935">
        <f>Ref_table!G461</f>
        <v>148281.62840678857</v>
      </c>
      <c r="H12" s="935">
        <f>Ref_table!H461</f>
        <v>158962.40799091308</v>
      </c>
      <c r="I12" s="935">
        <f>Ref_table!I461</f>
        <v>165506.44450892616</v>
      </c>
      <c r="J12" s="935">
        <f>Ref_table!J461</f>
        <v>171689.77114713445</v>
      </c>
      <c r="K12" s="935">
        <f>Ref_table!K461</f>
        <v>174572.04905379075</v>
      </c>
      <c r="L12" s="935">
        <f>Ref_table!L461</f>
        <v>183215.6370236327</v>
      </c>
      <c r="M12" s="976">
        <f>Ref_table!M461</f>
        <v>191007.33643753687</v>
      </c>
      <c r="N12" s="93"/>
    </row>
    <row r="13" spans="1:14" ht="15">
      <c r="A13" s="975" t="str">
        <f>Ref_table!A462</f>
        <v>m12=J1/fish.</v>
      </c>
      <c r="B13" s="937" t="str">
        <f>Ref_table!B462</f>
        <v>Territorial Consumption of Ecosystem Capital, in 10^6 € - Sea/ fisheries</v>
      </c>
      <c r="C13" s="935">
        <f>Ref_table!C462</f>
        <v>1185.54298549466</v>
      </c>
      <c r="D13" s="935">
        <f>Ref_table!D462</f>
        <v>1246.861961397826</v>
      </c>
      <c r="E13" s="935">
        <f>Ref_table!E462</f>
        <v>1316.1821265869796</v>
      </c>
      <c r="F13" s="935">
        <f>Ref_table!F462</f>
        <v>1378.8827668254353</v>
      </c>
      <c r="G13" s="935">
        <f>Ref_table!G462</f>
        <v>1450.528505648244</v>
      </c>
      <c r="H13" s="935">
        <f>Ref_table!H462</f>
        <v>1555.010601075577</v>
      </c>
      <c r="I13" s="935">
        <f>Ref_table!I462</f>
        <v>1619.0260264075696</v>
      </c>
      <c r="J13" s="935">
        <f>Ref_table!J462</f>
        <v>1679.5128961892385</v>
      </c>
      <c r="K13" s="935">
        <f>Ref_table!K462</f>
        <v>1707.7080698579255</v>
      </c>
      <c r="L13" s="935">
        <f>Ref_table!L462</f>
        <v>1792.261840112852</v>
      </c>
      <c r="M13" s="976">
        <f>Ref_table!M462</f>
        <v>1868.4822204036939</v>
      </c>
      <c r="N13" s="93"/>
    </row>
    <row r="14" spans="1:14" ht="15">
      <c r="A14" s="975" t="str">
        <f>Ref_table!A463</f>
        <v>m13=J1/clim</v>
      </c>
      <c r="B14" s="938" t="str">
        <f>Ref_table!B463</f>
        <v>Territorial Consumption of Ecosystem Capital, 10^6 € - Atmosphere/climate</v>
      </c>
      <c r="C14" s="935">
        <f>Ref_table!C463</f>
        <v>78072.9947548873</v>
      </c>
      <c r="D14" s="935">
        <f>Ref_table!D463</f>
        <v>82111.10736880107</v>
      </c>
      <c r="E14" s="935">
        <f>Ref_table!E463</f>
        <v>86676.13196886868</v>
      </c>
      <c r="F14" s="935">
        <f>Ref_table!F463</f>
        <v>90805.23299376531</v>
      </c>
      <c r="G14" s="935">
        <f>Ref_table!G463</f>
        <v>95523.40640439815</v>
      </c>
      <c r="H14" s="935">
        <f>Ref_table!H463</f>
        <v>102403.99208377294</v>
      </c>
      <c r="I14" s="935">
        <f>Ref_table!I463</f>
        <v>106619.67724013292</v>
      </c>
      <c r="J14" s="935">
        <f>Ref_table!J463</f>
        <v>110602.99216416615</v>
      </c>
      <c r="K14" s="935">
        <f>Ref_table!K463</f>
        <v>112459.76300493839</v>
      </c>
      <c r="L14" s="935">
        <f>Ref_table!L463</f>
        <v>118027.98460667512</v>
      </c>
      <c r="M14" s="976">
        <f>Ref_table!M463</f>
        <v>123047.41740959411</v>
      </c>
      <c r="N14" s="93"/>
    </row>
    <row r="15" spans="1:14" ht="15.75">
      <c r="A15" s="919" t="str">
        <f>Ref_table!A464</f>
        <v>K8</v>
      </c>
      <c r="B15" s="925" t="str">
        <f>Ref_table!B464</f>
        <v>Ecosystem capital depreciation virtually embedded into imports (total)</v>
      </c>
      <c r="C15" s="926">
        <f>Ref_table!C464</f>
        <v>114684.1679667416</v>
      </c>
      <c r="D15" s="926">
        <f>Ref_table!D464</f>
        <v>76825.88758827145</v>
      </c>
      <c r="E15" s="926">
        <f>Ref_table!E464</f>
        <v>73153.0210138428</v>
      </c>
      <c r="F15" s="926">
        <f>Ref_table!F464</f>
        <v>76029.66717551977</v>
      </c>
      <c r="G15" s="926">
        <f>Ref_table!G464</f>
        <v>81138.49511068781</v>
      </c>
      <c r="H15" s="926">
        <f>Ref_table!H464</f>
        <v>81232.34016968888</v>
      </c>
      <c r="I15" s="926">
        <f>Ref_table!I464</f>
        <v>94281.76579510448</v>
      </c>
      <c r="J15" s="926">
        <f>Ref_table!J464</f>
        <v>101889.308454467</v>
      </c>
      <c r="K15" s="926">
        <f>Ref_table!K464</f>
        <v>96616.18154894788</v>
      </c>
      <c r="L15" s="926">
        <f>Ref_table!L464</f>
        <v>92636.98917832402</v>
      </c>
      <c r="M15" s="977">
        <f>Ref_table!M464</f>
        <v>90684.40098041731</v>
      </c>
      <c r="N15" s="93"/>
    </row>
    <row r="16" spans="1:14" ht="15.75">
      <c r="A16" s="615" t="str">
        <f>Ref_table!A465</f>
        <v>M2</v>
      </c>
      <c r="B16" s="924" t="str">
        <f>Ref_table!B465</f>
        <v>Gross Domestic Consumption of Ecosystem Capital (GDCEC) (M2=M1+L8)</v>
      </c>
      <c r="C16" s="410">
        <f>Ref_table!C465</f>
        <v>235877.40460488066</v>
      </c>
      <c r="D16" s="410">
        <f>Ref_table!D465</f>
        <v>287645.4830186246</v>
      </c>
      <c r="E16" s="410">
        <f>Ref_table!E465</f>
        <v>295693.2797034706</v>
      </c>
      <c r="F16" s="410">
        <f>Ref_table!F465</f>
        <v>309171.3589167072</v>
      </c>
      <c r="G16" s="410">
        <f>Ref_table!G465</f>
        <v>326394.0584275228</v>
      </c>
      <c r="H16" s="410">
        <f>Ref_table!H465</f>
        <v>344153.75084545044</v>
      </c>
      <c r="I16" s="410">
        <f>Ref_table!I465</f>
        <v>368026.91357057117</v>
      </c>
      <c r="J16" s="410">
        <f>Ref_table!J465</f>
        <v>385861.5846619568</v>
      </c>
      <c r="K16" s="410">
        <f>Ref_table!K465</f>
        <v>385355.70167753496</v>
      </c>
      <c r="L16" s="410">
        <f>Ref_table!L465</f>
        <v>395672.87264874467</v>
      </c>
      <c r="M16" s="593">
        <f>Ref_table!M465</f>
        <v>406607.637047952</v>
      </c>
      <c r="N16" s="93"/>
    </row>
    <row r="17" spans="1:14" ht="15.75">
      <c r="A17" s="917" t="str">
        <f>Ref_table!A466</f>
        <v>M3</v>
      </c>
      <c r="B17" s="927" t="str">
        <f>Ref_table!B466</f>
        <v>Net Domestic Consumption of Ecosystem Capital (M2=M1+K8-K9)</v>
      </c>
      <c r="C17" s="928">
        <f>Ref_table!C466</f>
        <v>178535.32062150986</v>
      </c>
      <c r="D17" s="928">
        <f>Ref_table!D466</f>
        <v>232709.0743121693</v>
      </c>
      <c r="E17" s="928">
        <f>Ref_table!E466</f>
        <v>241795.40543861367</v>
      </c>
      <c r="F17" s="928">
        <f>Ref_table!F466</f>
        <v>252997.933271115</v>
      </c>
      <c r="G17" s="928">
        <f>Ref_table!G466</f>
        <v>266787.70589721494</v>
      </c>
      <c r="H17" s="928">
        <f>Ref_table!H466</f>
        <v>283578.6255563691</v>
      </c>
      <c r="I17" s="928">
        <f>Ref_table!I466</f>
        <v>299959.73282843485</v>
      </c>
      <c r="J17" s="928">
        <f>Ref_table!J466</f>
        <v>312975.53492017207</v>
      </c>
      <c r="K17" s="928">
        <f>Ref_table!K466</f>
        <v>314040.98717948946</v>
      </c>
      <c r="L17" s="928">
        <f>Ref_table!L466</f>
        <v>325229.90154787386</v>
      </c>
      <c r="M17" s="978">
        <f>Ref_table!M466</f>
        <v>335967.8641864513</v>
      </c>
      <c r="N17" s="93"/>
    </row>
    <row r="18" spans="1:14" ht="7.5" customHeight="1">
      <c r="A18" s="203"/>
      <c r="B18" s="13"/>
      <c r="C18" s="281"/>
      <c r="D18" s="281"/>
      <c r="E18" s="281"/>
      <c r="F18" s="281"/>
      <c r="G18" s="281"/>
      <c r="H18" s="281"/>
      <c r="I18" s="15"/>
      <c r="J18" s="13"/>
      <c r="K18" s="15"/>
      <c r="L18" s="16"/>
      <c r="M18" s="340"/>
      <c r="N18" s="93"/>
    </row>
    <row r="19" spans="1:14" ht="15">
      <c r="A19" s="1065" t="str">
        <f>Ref_table!A468</f>
        <v>Adjusted aggregates</v>
      </c>
      <c r="B19" s="1066">
        <f>Ref_table!B468</f>
        <v>0</v>
      </c>
      <c r="C19" s="1066">
        <f>Ref_table!C468</f>
        <v>0</v>
      </c>
      <c r="D19" s="1066">
        <f>Ref_table!D468</f>
        <v>0</v>
      </c>
      <c r="E19" s="1066">
        <f>Ref_table!E468</f>
        <v>0</v>
      </c>
      <c r="F19" s="1066">
        <f>Ref_table!F468</f>
        <v>0</v>
      </c>
      <c r="G19" s="1066">
        <f>Ref_table!G468</f>
        <v>0</v>
      </c>
      <c r="H19" s="1066">
        <f>Ref_table!H468</f>
        <v>0</v>
      </c>
      <c r="I19" s="1066">
        <f>Ref_table!I468</f>
        <v>0</v>
      </c>
      <c r="J19" s="1066">
        <f>Ref_table!J468</f>
        <v>0</v>
      </c>
      <c r="K19" s="1066">
        <f>Ref_table!K468</f>
        <v>0</v>
      </c>
      <c r="L19" s="1066">
        <f>Ref_table!L468</f>
        <v>0</v>
      </c>
      <c r="M19" s="1067">
        <f>Ref_table!M468</f>
        <v>0</v>
      </c>
      <c r="N19" s="93"/>
    </row>
    <row r="20" spans="1:14" ht="15.75">
      <c r="A20" s="615" t="str">
        <f>Ref_table!A469</f>
        <v>M06</v>
      </c>
      <c r="B20" s="924" t="str">
        <f>Ref_table!B469</f>
        <v>(Conventional) Net Domestic Product (M06=M01-M05)</v>
      </c>
      <c r="C20" s="410">
        <f>Ref_table!C469</f>
        <v>6057260.717965861</v>
      </c>
      <c r="D20" s="410">
        <f>Ref_table!D469</f>
        <v>6370556</v>
      </c>
      <c r="E20" s="410">
        <f>Ref_table!E469</f>
        <v>6735028</v>
      </c>
      <c r="F20" s="410">
        <f>Ref_table!F469</f>
        <v>7063611</v>
      </c>
      <c r="G20" s="410">
        <f>Ref_table!G469</f>
        <v>7422755</v>
      </c>
      <c r="H20" s="410">
        <f>Ref_table!H469</f>
        <v>7950166</v>
      </c>
      <c r="I20" s="410">
        <f>Ref_table!I469</f>
        <v>8269086</v>
      </c>
      <c r="J20" s="410">
        <f>Ref_table!J469</f>
        <v>8573548</v>
      </c>
      <c r="K20" s="410">
        <f>Ref_table!K469</f>
        <v>8719670</v>
      </c>
      <c r="L20" s="410">
        <f>Ref_table!L469</f>
        <v>9143450</v>
      </c>
      <c r="M20" s="593">
        <f>Ref_table!M469</f>
        <v>9523647</v>
      </c>
      <c r="N20" s="93"/>
    </row>
    <row r="21" spans="1:14" ht="15">
      <c r="A21" s="113" t="str">
        <f>Ref_table!A470</f>
        <v>m06%</v>
      </c>
      <c r="B21" s="109" t="str">
        <f>Ref_table!B470</f>
        <v>% Conventional Net Domestic Product/GDP</v>
      </c>
      <c r="C21" s="62">
        <f>Ref_table!C470</f>
        <v>0.8628893651598394</v>
      </c>
      <c r="D21" s="62">
        <f>Ref_table!D470</f>
        <v>0.8628893651598394</v>
      </c>
      <c r="E21" s="62">
        <f>Ref_table!E470</f>
        <v>0.8642105652157399</v>
      </c>
      <c r="F21" s="62">
        <f>Ref_table!F470</f>
        <v>0.865158312848382</v>
      </c>
      <c r="G21" s="62">
        <f>Ref_table!G470</f>
        <v>0.8642412932354674</v>
      </c>
      <c r="H21" s="62">
        <f>Ref_table!H470</f>
        <v>0.8634535858315764</v>
      </c>
      <c r="I21" s="62">
        <f>Ref_table!I470</f>
        <v>0.8625808915440726</v>
      </c>
      <c r="J21" s="62">
        <f>Ref_table!J470</f>
        <v>0.8621312658522009</v>
      </c>
      <c r="K21" s="62">
        <f>Ref_table!K470</f>
        <v>0.8623480251878447</v>
      </c>
      <c r="L21" s="62">
        <f>Ref_table!L470</f>
        <v>0.8615982157134852</v>
      </c>
      <c r="M21" s="921">
        <f>Ref_table!M470</f>
        <v>0.8608162854689747</v>
      </c>
      <c r="N21" s="93"/>
    </row>
    <row r="22" spans="1:14" ht="15.75">
      <c r="A22" s="615" t="str">
        <f>Ref_table!A471</f>
        <v>M4</v>
      </c>
      <c r="B22" s="924" t="str">
        <f>Ref_table!B471</f>
        <v>GDCEC Adjusted Net Domestic Product (M4=M01+M2)</v>
      </c>
      <c r="C22" s="410">
        <f>Ref_table!C471</f>
        <v>5821383.31336098</v>
      </c>
      <c r="D22" s="410">
        <f>Ref_table!D471</f>
        <v>6082910.516981375</v>
      </c>
      <c r="E22" s="410">
        <f>Ref_table!E471</f>
        <v>6439334.720296529</v>
      </c>
      <c r="F22" s="410">
        <f>Ref_table!F471</f>
        <v>6754439.641083293</v>
      </c>
      <c r="G22" s="410">
        <f>Ref_table!G471</f>
        <v>7096360.941572477</v>
      </c>
      <c r="H22" s="410">
        <f>Ref_table!H471</f>
        <v>7606012.249154549</v>
      </c>
      <c r="I22" s="410">
        <f>Ref_table!I471</f>
        <v>7901059.086429429</v>
      </c>
      <c r="J22" s="410">
        <f>Ref_table!J471</f>
        <v>8187686.415338043</v>
      </c>
      <c r="K22" s="410">
        <f>Ref_table!K471</f>
        <v>8334314.298322465</v>
      </c>
      <c r="L22" s="410">
        <f>Ref_table!L471</f>
        <v>8747777.127351256</v>
      </c>
      <c r="M22" s="593">
        <f>Ref_table!M471</f>
        <v>9117039.362952048</v>
      </c>
      <c r="N22" s="93"/>
    </row>
    <row r="23" spans="1:14" ht="15">
      <c r="A23" s="113" t="str">
        <f>Ref_table!A472</f>
        <v>M4%</v>
      </c>
      <c r="B23" s="109" t="str">
        <f>Ref_table!B472</f>
        <v>% GDCEC Adjusted Net Domestic Product/GDP</v>
      </c>
      <c r="C23" s="62">
        <f>Ref_table!C472</f>
        <v>0.8292873603276274</v>
      </c>
      <c r="D23" s="62">
        <f>Ref_table!D472</f>
        <v>0.8239278948842408</v>
      </c>
      <c r="E23" s="62">
        <f>Ref_table!E472</f>
        <v>0.8262684428692504</v>
      </c>
      <c r="F23" s="62">
        <f>Ref_table!F472</f>
        <v>0.8272906880228614</v>
      </c>
      <c r="G23" s="62">
        <f>Ref_table!G472</f>
        <v>0.8262387964320871</v>
      </c>
      <c r="H23" s="62">
        <f>Ref_table!H472</f>
        <v>0.8260756505475972</v>
      </c>
      <c r="I23" s="62">
        <f>Ref_table!I472</f>
        <v>0.8241905563583076</v>
      </c>
      <c r="J23" s="62">
        <f>Ref_table!J472</f>
        <v>0.8233301374945654</v>
      </c>
      <c r="K23" s="62">
        <f>Ref_table!K472</f>
        <v>0.8242375544548355</v>
      </c>
      <c r="L23" s="62">
        <f>Ref_table!L472</f>
        <v>0.8243134882768626</v>
      </c>
      <c r="M23" s="921">
        <f>Ref_table!M472</f>
        <v>0.8240641383380557</v>
      </c>
      <c r="N23" s="93"/>
    </row>
    <row r="24" spans="1:14" ht="15.75">
      <c r="A24" s="615" t="str">
        <f>Ref_table!A473</f>
        <v>M5</v>
      </c>
      <c r="B24" s="924" t="str">
        <f>Ref_table!B473</f>
        <v>Final Consumption at Full Price (M5=M02+M3)</v>
      </c>
      <c r="C24" s="410">
        <f>Ref_table!C473</f>
        <v>5681336.32062151</v>
      </c>
      <c r="D24" s="410">
        <f>Ref_table!D473</f>
        <v>6047139.074312169</v>
      </c>
      <c r="E24" s="410">
        <f>Ref_table!E473</f>
        <v>6344942.405438614</v>
      </c>
      <c r="F24" s="410">
        <f>Ref_table!F473</f>
        <v>6624517.833271115</v>
      </c>
      <c r="G24" s="410">
        <f>Ref_table!G473</f>
        <v>6997569.905897215</v>
      </c>
      <c r="H24" s="410">
        <f>Ref_table!H473</f>
        <v>7515841.925556369</v>
      </c>
      <c r="I24" s="410">
        <f>Ref_table!I473</f>
        <v>7854619.632828435</v>
      </c>
      <c r="J24" s="410">
        <f>Ref_table!J473</f>
        <v>8167949.634920171</v>
      </c>
      <c r="K24" s="410">
        <f>Ref_table!K473</f>
        <v>8327742.28717949</v>
      </c>
      <c r="L24" s="410">
        <f>Ref_table!L473</f>
        <v>8700388.501547873</v>
      </c>
      <c r="M24" s="593">
        <f>Ref_table!M473</f>
        <v>9095136.06418645</v>
      </c>
      <c r="N24" s="93"/>
    </row>
    <row r="25" spans="1:14" ht="15">
      <c r="A25" s="113" t="str">
        <f>Ref_table!A474</f>
        <v>M5%</v>
      </c>
      <c r="B25" s="109" t="str">
        <f>Ref_table!B474</f>
        <v>% Final Consumption at Full Price/ FC Purchaser Price</v>
      </c>
      <c r="C25" s="62">
        <f>Ref_table!C474</f>
        <v>1.032444444315088</v>
      </c>
      <c r="D25" s="62">
        <f>Ref_table!D474</f>
        <v>1.0400226805227974</v>
      </c>
      <c r="E25" s="62">
        <f>Ref_table!E474</f>
        <v>1.039618151985953</v>
      </c>
      <c r="F25" s="62">
        <f>Ref_table!F474</f>
        <v>1.0397076266325582</v>
      </c>
      <c r="G25" s="62">
        <f>Ref_table!G474</f>
        <v>1.039636954215695</v>
      </c>
      <c r="H25" s="62">
        <f>Ref_table!H474</f>
        <v>1.0392102186816634</v>
      </c>
      <c r="I25" s="62">
        <f>Ref_table!I474</f>
        <v>1.0397052596409315</v>
      </c>
      <c r="J25" s="62">
        <f>Ref_table!J474</f>
        <v>1.0398442478531116</v>
      </c>
      <c r="K25" s="62">
        <f>Ref_table!K474</f>
        <v>1.0391880075664275</v>
      </c>
      <c r="L25" s="62">
        <f>Ref_table!L474</f>
        <v>1.0388326856936028</v>
      </c>
      <c r="M25" s="921">
        <f>Ref_table!M474</f>
        <v>1.0383561379933828</v>
      </c>
      <c r="N25" s="93"/>
    </row>
    <row r="26" spans="1:14" ht="7.5" customHeight="1">
      <c r="A26" s="203"/>
      <c r="B26" s="13"/>
      <c r="C26" s="281"/>
      <c r="D26" s="281"/>
      <c r="E26" s="281"/>
      <c r="F26" s="281"/>
      <c r="G26" s="281"/>
      <c r="H26" s="281"/>
      <c r="I26" s="15"/>
      <c r="J26" s="13"/>
      <c r="K26" s="15"/>
      <c r="L26" s="16"/>
      <c r="M26" s="340"/>
      <c r="N26" s="93"/>
    </row>
    <row r="27" spans="1:14" ht="15">
      <c r="A27" s="642" t="str">
        <f>Ref_table!A476</f>
        <v>K10</v>
      </c>
      <c r="B27" s="929" t="str">
        <f>Ref_table!B476</f>
        <v>Imports at Full Price (K10=M03+K8)</v>
      </c>
      <c r="C27" s="9">
        <f>Ref_table!C476</f>
        <v>742370.518194357</v>
      </c>
      <c r="D27" s="9">
        <f>Ref_table!D476</f>
        <v>718926.1098848716</v>
      </c>
      <c r="E27" s="9">
        <f>Ref_table!E476</f>
        <v>747136.8931060047</v>
      </c>
      <c r="F27" s="9">
        <f>Ref_table!F476</f>
        <v>779650.5456033644</v>
      </c>
      <c r="G27" s="9">
        <f>Ref_table!G476</f>
        <v>824433.4951106878</v>
      </c>
      <c r="H27" s="9">
        <f>Ref_table!H476</f>
        <v>1073927.340169689</v>
      </c>
      <c r="I27" s="9">
        <f>Ref_table!I476</f>
        <v>1073424.7657951044</v>
      </c>
      <c r="J27" s="9">
        <f>Ref_table!J476</f>
        <v>1038856.308454467</v>
      </c>
      <c r="K27" s="9">
        <f>Ref_table!K476</f>
        <v>1031881.1815489479</v>
      </c>
      <c r="L27" s="9">
        <f>Ref_table!L476</f>
        <v>1120158.9891783241</v>
      </c>
      <c r="M27" s="643">
        <f>Ref_table!M476</f>
        <v>1270253.4009804174</v>
      </c>
      <c r="N27" s="93"/>
    </row>
    <row r="28" spans="1:14" ht="15">
      <c r="A28" s="141" t="str">
        <f>Ref_table!A477</f>
        <v>K10 %</v>
      </c>
      <c r="B28" s="930" t="str">
        <f>Ref_table!B477</f>
        <v>% Imports at Full Price/ Imports CIF</v>
      </c>
      <c r="C28" s="485">
        <f>Ref_table!C477</f>
        <v>1.182709354640505</v>
      </c>
      <c r="D28" s="485">
        <f>Ref_table!D477</f>
        <v>1.1196478134106358</v>
      </c>
      <c r="E28" s="485">
        <f>Ref_table!E477</f>
        <v>1.108538236659526</v>
      </c>
      <c r="F28" s="485">
        <f>Ref_table!F477</f>
        <v>1.1080548765769982</v>
      </c>
      <c r="G28" s="485">
        <f>Ref_table!G477</f>
        <v>1.1091605555138777</v>
      </c>
      <c r="H28" s="485">
        <f>Ref_table!H477</f>
        <v>1.081830109116787</v>
      </c>
      <c r="I28" s="485">
        <f>Ref_table!I477</f>
        <v>1.0962900881639397</v>
      </c>
      <c r="J28" s="485">
        <f>Ref_table!J477</f>
        <v>1.1087437534667357</v>
      </c>
      <c r="K28" s="485">
        <f>Ref_table!K477</f>
        <v>1.1033035359485792</v>
      </c>
      <c r="L28" s="485">
        <f>Ref_table!L477</f>
        <v>1.0901557233600099</v>
      </c>
      <c r="M28" s="486">
        <f>Ref_table!M477</f>
        <v>1.0768792677498453</v>
      </c>
      <c r="N28" s="93"/>
    </row>
    <row r="29" spans="1:14" ht="15">
      <c r="A29" s="642" t="str">
        <f>Ref_table!A478</f>
        <v>K11</v>
      </c>
      <c r="B29" s="931" t="str">
        <f>Ref_table!B478</f>
        <v>Export at Full Price(K11=M04+K9)</v>
      </c>
      <c r="C29" s="9">
        <f>Ref_table!C478</f>
        <v>635638.0816195818</v>
      </c>
      <c r="D29" s="9">
        <f>Ref_table!D478</f>
        <v>642108.7433837943</v>
      </c>
      <c r="E29" s="9">
        <f>Ref_table!E478</f>
        <v>673714.4666824058</v>
      </c>
      <c r="F29" s="9">
        <f>Ref_table!F478</f>
        <v>705517.0085836508</v>
      </c>
      <c r="G29" s="9">
        <f>Ref_table!G478</f>
        <v>742689.3525303078</v>
      </c>
      <c r="H29" s="9">
        <f>Ref_table!H478</f>
        <v>910315.1252890814</v>
      </c>
      <c r="I29" s="9">
        <f>Ref_table!I478</f>
        <v>952774.1807421363</v>
      </c>
      <c r="J29" s="9">
        <f>Ref_table!J478</f>
        <v>964785.0497417848</v>
      </c>
      <c r="K29" s="9">
        <f>Ref_table!K478</f>
        <v>940551.7144980455</v>
      </c>
      <c r="L29" s="9">
        <f>Ref_table!L478</f>
        <v>1023397.9711008708</v>
      </c>
      <c r="M29" s="643">
        <f>Ref_table!M478</f>
        <v>1123359.7728615007</v>
      </c>
      <c r="N29" s="93"/>
    </row>
    <row r="30" spans="1:14" ht="15.75" thickBot="1">
      <c r="A30" s="1012" t="str">
        <f>Ref_table!A479</f>
        <v>K11 %</v>
      </c>
      <c r="B30" s="979" t="str">
        <f>Ref_table!B479</f>
        <v>% Exports at Full Price / Export FOB</v>
      </c>
      <c r="C30" s="492">
        <f>Ref_table!C479</f>
        <v>1.0991569788097393</v>
      </c>
      <c r="D30" s="492">
        <f>Ref_table!D479</f>
        <v>1.093560962364897</v>
      </c>
      <c r="E30" s="492">
        <f>Ref_table!E479</f>
        <v>1.0869577790014175</v>
      </c>
      <c r="F30" s="492">
        <f>Ref_table!F479</f>
        <v>1.0865080168982753</v>
      </c>
      <c r="G30" s="492">
        <f>Ref_table!G479</f>
        <v>1.0872607758212514</v>
      </c>
      <c r="H30" s="492">
        <f>Ref_table!H479</f>
        <v>1.071286658612142</v>
      </c>
      <c r="I30" s="492">
        <f>Ref_table!I479</f>
        <v>1.0769375406119046</v>
      </c>
      <c r="J30" s="492">
        <f>Ref_table!J479</f>
        <v>1.0817200711535553</v>
      </c>
      <c r="K30" s="492">
        <f>Ref_table!K479</f>
        <v>1.0820428887611153</v>
      </c>
      <c r="L30" s="492">
        <f>Ref_table!L479</f>
        <v>1.0739205640359417</v>
      </c>
      <c r="M30" s="493">
        <f>Ref_table!M479</f>
        <v>1.067102147638024</v>
      </c>
      <c r="N30" s="93"/>
    </row>
    <row r="31" ht="15">
      <c r="A31" s="93"/>
    </row>
    <row r="32" ht="15">
      <c r="A32" s="93"/>
    </row>
  </sheetData>
  <sheetProtection/>
  <mergeCells count="3">
    <mergeCell ref="A3:B3"/>
    <mergeCell ref="A10:M10"/>
    <mergeCell ref="A19:M1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N64"/>
  <sheetViews>
    <sheetView showZeros="0" zoomScale="60" zoomScaleNormal="60" zoomScalePageLayoutView="0" workbookViewId="0" topLeftCell="A1">
      <selection activeCell="O16" sqref="O16"/>
    </sheetView>
  </sheetViews>
  <sheetFormatPr defaultColWidth="9.140625" defaultRowHeight="15"/>
  <cols>
    <col min="1" max="1" width="15.8515625" style="0" customWidth="1"/>
    <col min="2" max="2" width="99.7109375" style="0" customWidth="1"/>
    <col min="3" max="3" width="12.421875" style="0" customWidth="1"/>
    <col min="4" max="4" width="13.7109375" style="0" customWidth="1"/>
    <col min="5" max="5" width="14.8515625" style="0" customWidth="1"/>
    <col min="6" max="6" width="11.7109375" style="0" customWidth="1"/>
    <col min="7" max="7" width="13.8515625" style="0" customWidth="1"/>
    <col min="8" max="9" width="12.57421875" style="0" customWidth="1"/>
    <col min="10" max="10" width="14.140625" style="0" customWidth="1"/>
    <col min="11" max="11" width="15.00390625" style="0" customWidth="1"/>
    <col min="12" max="12" width="12.00390625" style="0" customWidth="1"/>
    <col min="13" max="13" width="14.140625" style="0" customWidth="1"/>
  </cols>
  <sheetData>
    <row r="1" ht="15">
      <c r="A1" t="str">
        <f>'Table M - Adjsuted Aggregates'!A1</f>
        <v>SECA - Simplified Ecosystem Capital Accounts</v>
      </c>
    </row>
    <row r="2" ht="15.75" thickBot="1">
      <c r="A2" s="93" t="str">
        <f>'Table M - Adjsuted Aggregates'!A2</f>
        <v>Draft Tables and Mock-up</v>
      </c>
    </row>
    <row r="3" spans="1:14" ht="27" customHeight="1">
      <c r="A3" s="1068" t="str">
        <f>Ref_table!A481</f>
        <v>[N] Ecosystem Monetary Balance Sheet: Assets and Liabilities </v>
      </c>
      <c r="B3" s="1086">
        <f>Ref_table!B481</f>
        <v>0</v>
      </c>
      <c r="C3" s="837" t="str">
        <f>Ref_table!C481</f>
        <v>t1 (1995)</v>
      </c>
      <c r="D3" s="423" t="str">
        <f>Ref_table!D481</f>
        <v>1996</v>
      </c>
      <c r="E3" s="423" t="str">
        <f>Ref_table!E481</f>
        <v>1997</v>
      </c>
      <c r="F3" s="423" t="str">
        <f>Ref_table!F481</f>
        <v>1998</v>
      </c>
      <c r="G3" s="423" t="str">
        <f>Ref_table!G481</f>
        <v>1999</v>
      </c>
      <c r="H3" s="423" t="str">
        <f>Ref_table!H481</f>
        <v>2000</v>
      </c>
      <c r="I3" s="423" t="str">
        <f>Ref_table!I481</f>
        <v>2001</v>
      </c>
      <c r="J3" s="423" t="str">
        <f>Ref_table!J481</f>
        <v>2002</v>
      </c>
      <c r="K3" s="423" t="str">
        <f>Ref_table!K481</f>
        <v>2003</v>
      </c>
      <c r="L3" s="423" t="str">
        <f>Ref_table!L481</f>
        <v>2004</v>
      </c>
      <c r="M3" s="424" t="str">
        <f>Ref_table!M481</f>
        <v>t10 (2005)</v>
      </c>
      <c r="N3" s="93"/>
    </row>
    <row r="4" spans="1:14" ht="18.75">
      <c r="A4" s="1080" t="str">
        <f>Ref_table!A482</f>
        <v>Monetary Assets [in  10^6 €]</v>
      </c>
      <c r="B4" s="1081">
        <f>Ref_table!B482</f>
        <v>0</v>
      </c>
      <c r="C4" s="1081">
        <f>Ref_table!C482</f>
        <v>0</v>
      </c>
      <c r="D4" s="1081">
        <f>Ref_table!D482</f>
        <v>0</v>
      </c>
      <c r="E4" s="1081">
        <f>Ref_table!E482</f>
        <v>0</v>
      </c>
      <c r="F4" s="1081">
        <f>Ref_table!F482</f>
        <v>0</v>
      </c>
      <c r="G4" s="1081">
        <f>Ref_table!G482</f>
        <v>0</v>
      </c>
      <c r="H4" s="1081">
        <f>Ref_table!H482</f>
        <v>0</v>
      </c>
      <c r="I4" s="1081">
        <f>Ref_table!I482</f>
        <v>0</v>
      </c>
      <c r="J4" s="1081">
        <f>Ref_table!J482</f>
        <v>0</v>
      </c>
      <c r="K4" s="1081">
        <f>Ref_table!K482</f>
        <v>0</v>
      </c>
      <c r="L4" s="1081">
        <f>Ref_table!L482</f>
        <v>0</v>
      </c>
      <c r="M4" s="1082">
        <f>Ref_table!M482</f>
        <v>0</v>
      </c>
      <c r="N4" s="93"/>
    </row>
    <row r="5" spans="1:14" ht="15.75">
      <c r="A5" s="932" t="str">
        <f>Ref_table!A483</f>
        <v>N1</v>
      </c>
      <c r="B5" s="933" t="str">
        <f>Ref_table!B483</f>
        <v> Ecosystem Potential Opening Balance Sheet, in 10^6 € - Non Relevant (NR)</v>
      </c>
      <c r="C5" s="934" t="str">
        <f>Ref_table!C483</f>
        <v>NR</v>
      </c>
      <c r="D5" s="934" t="str">
        <f>Ref_table!D483</f>
        <v>NR</v>
      </c>
      <c r="E5" s="934" t="str">
        <f>Ref_table!E483</f>
        <v>NR</v>
      </c>
      <c r="F5" s="934" t="str">
        <f>Ref_table!F483</f>
        <v>NR</v>
      </c>
      <c r="G5" s="934" t="str">
        <f>Ref_table!G483</f>
        <v>NR</v>
      </c>
      <c r="H5" s="934" t="str">
        <f>Ref_table!H483</f>
        <v>NR</v>
      </c>
      <c r="I5" s="934" t="str">
        <f>Ref_table!I483</f>
        <v>NR</v>
      </c>
      <c r="J5" s="934" t="str">
        <f>Ref_table!J483</f>
        <v>NR</v>
      </c>
      <c r="K5" s="934" t="str">
        <f>Ref_table!K483</f>
        <v>NR</v>
      </c>
      <c r="L5" s="934" t="str">
        <f>Ref_table!L483</f>
        <v>NR</v>
      </c>
      <c r="M5" s="964" t="str">
        <f>Ref_table!M483</f>
        <v>NR</v>
      </c>
      <c r="N5" s="93"/>
    </row>
    <row r="6" spans="1:14" ht="15">
      <c r="A6" s="490" t="str">
        <f>Ref_table!A484</f>
        <v>n11</v>
      </c>
      <c r="B6" s="1007" t="str">
        <f>Ref_table!B484</f>
        <v>Market value of ecosystem economic non-financial assets, 10^6 € (from SEEA vol.1)</v>
      </c>
      <c r="C6" s="487">
        <f>Ref_table!C484</f>
        <v>2000000</v>
      </c>
      <c r="D6" s="487">
        <f>Ref_table!D484</f>
        <v>2040000</v>
      </c>
      <c r="E6" s="487">
        <f>Ref_table!E484</f>
        <v>2080800</v>
      </c>
      <c r="F6" s="487">
        <f>Ref_table!F484</f>
        <v>2122416</v>
      </c>
      <c r="G6" s="487">
        <f>Ref_table!G484</f>
        <v>2164864.32</v>
      </c>
      <c r="H6" s="487">
        <f>Ref_table!H484</f>
        <v>2208161.6064</v>
      </c>
      <c r="I6" s="487">
        <f>Ref_table!I484</f>
        <v>2252324.838528</v>
      </c>
      <c r="J6" s="487">
        <f>Ref_table!J484</f>
        <v>2297371.3352985596</v>
      </c>
      <c r="K6" s="487">
        <f>Ref_table!K484</f>
        <v>2343318.762004531</v>
      </c>
      <c r="L6" s="487">
        <f>Ref_table!L484</f>
        <v>2390185.1372446218</v>
      </c>
      <c r="M6" s="491">
        <f>Ref_table!M484</f>
        <v>2437988.839989514</v>
      </c>
      <c r="N6" s="93"/>
    </row>
    <row r="7" spans="1:14" ht="15">
      <c r="A7" s="490" t="str">
        <f>Ref_table!A485</f>
        <v>n12</v>
      </c>
      <c r="B7" s="1007" t="str">
        <f>Ref_table!B485</f>
        <v>Financial ecosystem assets, 10^6 € </v>
      </c>
      <c r="C7" s="487"/>
      <c r="D7" s="487"/>
      <c r="E7" s="487"/>
      <c r="F7" s="487"/>
      <c r="G7" s="487"/>
      <c r="H7" s="487"/>
      <c r="I7" s="487"/>
      <c r="J7" s="487"/>
      <c r="K7" s="487"/>
      <c r="L7" s="487"/>
      <c r="M7" s="491"/>
      <c r="N7" s="93"/>
    </row>
    <row r="8" spans="1:14" ht="15">
      <c r="A8" s="1010" t="str">
        <f>Ref_table!A486</f>
        <v>n13</v>
      </c>
      <c r="B8" s="122" t="str">
        <f>Ref_table!B486</f>
        <v>Market value of ecosystem public good assets, in 10^6 €  - Non Relevant (NR)</v>
      </c>
      <c r="C8" s="1008" t="str">
        <f>Ref_table!C486</f>
        <v>NR</v>
      </c>
      <c r="D8" s="1008" t="str">
        <f>Ref_table!D486</f>
        <v>NR</v>
      </c>
      <c r="E8" s="1008" t="str">
        <f>Ref_table!E486</f>
        <v>NR</v>
      </c>
      <c r="F8" s="1008" t="str">
        <f>Ref_table!F486</f>
        <v>NR</v>
      </c>
      <c r="G8" s="1008" t="str">
        <f>Ref_table!G486</f>
        <v>NR</v>
      </c>
      <c r="H8" s="1008" t="str">
        <f>Ref_table!H486</f>
        <v>NR</v>
      </c>
      <c r="I8" s="1008" t="str">
        <f>Ref_table!I486</f>
        <v>NR</v>
      </c>
      <c r="J8" s="1008" t="str">
        <f>Ref_table!J486</f>
        <v>NR</v>
      </c>
      <c r="K8" s="1008" t="str">
        <f>Ref_table!K486</f>
        <v>NR</v>
      </c>
      <c r="L8" s="1008" t="str">
        <f>Ref_table!L486</f>
        <v>NR</v>
      </c>
      <c r="M8" s="1011" t="str">
        <f>Ref_table!M486</f>
        <v>NR</v>
      </c>
      <c r="N8" s="93"/>
    </row>
    <row r="9" spans="1:14" ht="15.75">
      <c r="A9" s="615" t="str">
        <f>Ref_table!A487</f>
        <v>N2</v>
      </c>
      <c r="B9" s="574" t="str">
        <f>Ref_table!B487</f>
        <v>Change in Ecosystem Potential Due to Economic Activities</v>
      </c>
      <c r="C9" s="365">
        <f>Ref_table!C487</f>
        <v>-81019.57961476251</v>
      </c>
      <c r="D9" s="365">
        <f>Ref_table!D487</f>
        <v>-8966.297945930128</v>
      </c>
      <c r="E9" s="365">
        <f>Ref_table!E487</f>
        <v>-79188.58818963359</v>
      </c>
      <c r="F9" s="365">
        <f>Ref_table!F487</f>
        <v>-150704.027701489</v>
      </c>
      <c r="G9" s="365">
        <f>Ref_table!G487</f>
        <v>-224354.93779847302</v>
      </c>
      <c r="H9" s="365">
        <f>Ref_table!H487</f>
        <v>-25767.978890308063</v>
      </c>
      <c r="I9" s="365">
        <f>Ref_table!I487</f>
        <v>452125.19857584103</v>
      </c>
      <c r="J9" s="365">
        <f>Ref_table!J487</f>
        <v>-255021.24813238357</v>
      </c>
      <c r="K9" s="365">
        <f>Ref_table!K487</f>
        <v>466081.8542978268</v>
      </c>
      <c r="L9" s="365">
        <f>Ref_table!L487</f>
        <v>-264003.8629090407</v>
      </c>
      <c r="M9" s="408">
        <f>Ref_table!M487</f>
        <v>-308116.8319552587</v>
      </c>
      <c r="N9" s="93"/>
    </row>
    <row r="10" spans="1:14" ht="15">
      <c r="A10" s="941" t="str">
        <f>Ref_table!A488</f>
        <v>n21</v>
      </c>
      <c r="B10" s="943" t="str">
        <f>Ref_table!B488</f>
        <v>(+) Effect of ecosystem restoration programmes, in 10^6 € (N21= f71 in EPUE*Unit price)</v>
      </c>
      <c r="C10" s="944">
        <f>Ref_table!C488</f>
        <v>40173.65702337656</v>
      </c>
      <c r="D10" s="944">
        <f>Ref_table!D488</f>
        <v>201853.29748442303</v>
      </c>
      <c r="E10" s="944">
        <f>Ref_table!E488</f>
        <v>143351.67049999422</v>
      </c>
      <c r="F10" s="944">
        <f>Ref_table!F488</f>
        <v>82437.66403969843</v>
      </c>
      <c r="G10" s="944">
        <f>Ref_table!G488</f>
        <v>20900.62551836194</v>
      </c>
      <c r="H10" s="944">
        <f>Ref_table!H488</f>
        <v>237153.43178545352</v>
      </c>
      <c r="I10" s="944">
        <f>Ref_table!I488</f>
        <v>725870.3463513077</v>
      </c>
      <c r="J10" s="944">
        <f>Ref_table!J488</f>
        <v>28951.028075106267</v>
      </c>
      <c r="K10" s="944">
        <f>Ref_table!K488</f>
        <v>754821.3744264139</v>
      </c>
      <c r="L10" s="944">
        <f>Ref_table!L488</f>
        <v>39032.02056137995</v>
      </c>
      <c r="M10" s="965">
        <f>Ref_table!M488</f>
        <v>7806.40411227599</v>
      </c>
      <c r="N10" s="93"/>
    </row>
    <row r="11" spans="1:14" ht="15">
      <c r="A11" s="113" t="str">
        <f>Ref_table!A489</f>
        <v>n211</v>
      </c>
      <c r="B11" s="109" t="str">
        <f>Ref_table!B489</f>
        <v>Effect of Ecosystem restoration programmes, in 10^6 € - Inland ecosystems</v>
      </c>
      <c r="C11" s="945">
        <f>Ref_table!C489</f>
        <v>13900.694936691716</v>
      </c>
      <c r="D11" s="945">
        <f>Ref_table!D489</f>
        <v>122040.5981641421</v>
      </c>
      <c r="E11" s="945">
        <f>Ref_table!E489</f>
        <v>86670.48709966385</v>
      </c>
      <c r="F11" s="945">
        <f>Ref_table!F489</f>
        <v>49841.85027463209</v>
      </c>
      <c r="G11" s="945">
        <f>Ref_table!G489</f>
        <v>12636.527973799697</v>
      </c>
      <c r="H11" s="945">
        <f>Ref_table!H489</f>
        <v>143383.0758896039</v>
      </c>
      <c r="I11" s="945">
        <f>Ref_table!I489</f>
        <v>438861.55124695314</v>
      </c>
      <c r="J11" s="945">
        <f>Ref_table!J489</f>
        <v>17503.80512869995</v>
      </c>
      <c r="K11" s="945">
        <f>Ref_table!K489</f>
        <v>456365.356375653</v>
      </c>
      <c r="L11" s="945">
        <f>Ref_table!L489</f>
        <v>23598.77790568916</v>
      </c>
      <c r="M11" s="966">
        <f>Ref_table!M489</f>
        <v>4719.7555811378315</v>
      </c>
      <c r="N11" s="93"/>
    </row>
    <row r="12" spans="1:14" ht="15">
      <c r="A12" s="113" t="str">
        <f>Ref_table!A490</f>
        <v>n212</v>
      </c>
      <c r="B12" s="109" t="str">
        <f>Ref_table!B490</f>
        <v>Effect of Ecosystem restoration programmes, in 10^6 € - Fisheries</v>
      </c>
      <c r="C12" s="945">
        <f>Ref_table!C490</f>
        <v>392.98890438861446</v>
      </c>
      <c r="D12" s="945">
        <f>Ref_table!D490</f>
        <v>1193.832090903491</v>
      </c>
      <c r="E12" s="945">
        <f>Ref_table!E490</f>
        <v>847.8326916642174</v>
      </c>
      <c r="F12" s="945">
        <f>Ref_table!F490</f>
        <v>487.565623431579</v>
      </c>
      <c r="G12" s="945">
        <f>Ref_table!G490</f>
        <v>123.61372231584384</v>
      </c>
      <c r="H12" s="945">
        <f>Ref_table!H490</f>
        <v>1402.6096222441688</v>
      </c>
      <c r="I12" s="945">
        <f>Ref_table!I490</f>
        <v>4293.055026144894</v>
      </c>
      <c r="J12" s="945">
        <f>Ref_table!J490</f>
        <v>171.22666219201585</v>
      </c>
      <c r="K12" s="945">
        <f>Ref_table!K490</f>
        <v>4464.28168833691</v>
      </c>
      <c r="L12" s="945">
        <f>Ref_table!L490</f>
        <v>230.84923208934057</v>
      </c>
      <c r="M12" s="966">
        <f>Ref_table!M490</f>
        <v>46.169846417868115</v>
      </c>
      <c r="N12" s="93"/>
    </row>
    <row r="13" spans="1:14" ht="15">
      <c r="A13" s="113" t="str">
        <f>Ref_table!A491</f>
        <v>n213</v>
      </c>
      <c r="B13" s="109" t="str">
        <f>Ref_table!B491</f>
        <v>Effect of Ecosystem restoration programmes, in 10^6 € - Atmosphere/climate</v>
      </c>
      <c r="C13" s="945">
        <f>Ref_table!C491</f>
        <v>25879.97318229623</v>
      </c>
      <c r="D13" s="945">
        <f>Ref_table!D491</f>
        <v>78618.86722937744</v>
      </c>
      <c r="E13" s="945">
        <f>Ref_table!E491</f>
        <v>55833.35070866614</v>
      </c>
      <c r="F13" s="945">
        <f>Ref_table!F491</f>
        <v>32108.24814163476</v>
      </c>
      <c r="G13" s="945">
        <f>Ref_table!G491</f>
        <v>8140.483822246399</v>
      </c>
      <c r="H13" s="945">
        <f>Ref_table!H491</f>
        <v>92367.74627360547</v>
      </c>
      <c r="I13" s="945">
        <f>Ref_table!I491</f>
        <v>282715.7400782096</v>
      </c>
      <c r="J13" s="945">
        <f>Ref_table!J491</f>
        <v>11275.996284214301</v>
      </c>
      <c r="K13" s="945">
        <f>Ref_table!K491</f>
        <v>293991.7363624239</v>
      </c>
      <c r="L13" s="945">
        <f>Ref_table!L491</f>
        <v>15202.393423601452</v>
      </c>
      <c r="M13" s="966">
        <f>Ref_table!M491</f>
        <v>3040.478684720291</v>
      </c>
      <c r="N13" s="93"/>
    </row>
    <row r="14" spans="1:14" ht="15">
      <c r="A14" s="941" t="str">
        <f>Ref_table!A492</f>
        <v>n22</v>
      </c>
      <c r="B14" s="943" t="str">
        <f>Ref_table!B492</f>
        <v>(-)Territorial Consumption of Ecosystem Capital (TCEC) (n71=M1=J1)</v>
      </c>
      <c r="C14" s="944">
        <f>Ref_table!C492</f>
        <v>121193.23663813906</v>
      </c>
      <c r="D14" s="944">
        <f>Ref_table!D492</f>
        <v>210819.59543035316</v>
      </c>
      <c r="E14" s="944">
        <f>Ref_table!E492</f>
        <v>222540.2586896278</v>
      </c>
      <c r="F14" s="944">
        <f>Ref_table!F492</f>
        <v>233141.69174118742</v>
      </c>
      <c r="G14" s="944">
        <f>Ref_table!G492</f>
        <v>245255.56331683497</v>
      </c>
      <c r="H14" s="944">
        <f>Ref_table!H492</f>
        <v>262921.4106757616</v>
      </c>
      <c r="I14" s="944">
        <f>Ref_table!I492</f>
        <v>273745.14777546667</v>
      </c>
      <c r="J14" s="944">
        <f>Ref_table!J492</f>
        <v>283972.27620748983</v>
      </c>
      <c r="K14" s="944">
        <f>Ref_table!K492</f>
        <v>288739.5201285871</v>
      </c>
      <c r="L14" s="944">
        <f>Ref_table!L492</f>
        <v>303035.88347042067</v>
      </c>
      <c r="M14" s="965">
        <f>Ref_table!M492</f>
        <v>315923.23606753466</v>
      </c>
      <c r="N14" s="93"/>
    </row>
    <row r="15" spans="1:14" ht="15">
      <c r="A15" s="113" t="str">
        <f>Ref_table!A493</f>
        <v>n221</v>
      </c>
      <c r="B15" s="109" t="str">
        <f>Ref_table!B493</f>
        <v>Territorial Consumption of Ecosystem Capital, in 10^6 € - Inland ecosystems</v>
      </c>
      <c r="C15" s="945">
        <f>Ref_table!C493</f>
        <v>41934.698897757095</v>
      </c>
      <c r="D15" s="945">
        <f>Ref_table!D493</f>
        <v>127461.62610015427</v>
      </c>
      <c r="E15" s="945">
        <f>Ref_table!E493</f>
        <v>134547.94459417215</v>
      </c>
      <c r="F15" s="945">
        <f>Ref_table!F493</f>
        <v>140957.57598059665</v>
      </c>
      <c r="G15" s="945">
        <f>Ref_table!G493</f>
        <v>148281.62840678857</v>
      </c>
      <c r="H15" s="945">
        <f>Ref_table!H493</f>
        <v>158962.40799091308</v>
      </c>
      <c r="I15" s="945">
        <f>Ref_table!I493</f>
        <v>165506.44450892616</v>
      </c>
      <c r="J15" s="945">
        <f>Ref_table!J493</f>
        <v>171689.77114713445</v>
      </c>
      <c r="K15" s="945">
        <f>Ref_table!K493</f>
        <v>174572.04905379075</v>
      </c>
      <c r="L15" s="945">
        <f>Ref_table!L493</f>
        <v>183215.6370236327</v>
      </c>
      <c r="M15" s="966">
        <f>Ref_table!M493</f>
        <v>191007.33643753687</v>
      </c>
      <c r="N15" s="93"/>
    </row>
    <row r="16" spans="1:14" ht="15">
      <c r="A16" s="113" t="str">
        <f>Ref_table!A494</f>
        <v>n222</v>
      </c>
      <c r="B16" s="109" t="str">
        <f>Ref_table!B494</f>
        <v>Territorial Consumption of Ecosystem Capital, in 10^6 € - Sea/ fisheries</v>
      </c>
      <c r="C16" s="945">
        <f>Ref_table!C494</f>
        <v>1185.54298549466</v>
      </c>
      <c r="D16" s="945">
        <f>Ref_table!D494</f>
        <v>1246.861961397826</v>
      </c>
      <c r="E16" s="945">
        <f>Ref_table!E494</f>
        <v>1316.1821265869796</v>
      </c>
      <c r="F16" s="945">
        <f>Ref_table!F494</f>
        <v>1378.8827668254353</v>
      </c>
      <c r="G16" s="945">
        <f>Ref_table!G494</f>
        <v>1450.528505648244</v>
      </c>
      <c r="H16" s="945">
        <f>Ref_table!H494</f>
        <v>1555.010601075577</v>
      </c>
      <c r="I16" s="945">
        <f>Ref_table!I494</f>
        <v>1619.0260264075696</v>
      </c>
      <c r="J16" s="945">
        <f>Ref_table!J494</f>
        <v>1679.5128961892385</v>
      </c>
      <c r="K16" s="945">
        <f>Ref_table!K494</f>
        <v>1707.7080698579255</v>
      </c>
      <c r="L16" s="945">
        <f>Ref_table!L494</f>
        <v>1792.261840112852</v>
      </c>
      <c r="M16" s="966">
        <f>Ref_table!M494</f>
        <v>1868.4822204036939</v>
      </c>
      <c r="N16" s="93"/>
    </row>
    <row r="17" spans="1:14" ht="15">
      <c r="A17" s="113" t="str">
        <f>Ref_table!A495</f>
        <v>n223</v>
      </c>
      <c r="B17" s="109" t="str">
        <f>Ref_table!B495</f>
        <v>Territorial Consumption of Ecosystem Capital, 10^6 € - Atmosphere/climate</v>
      </c>
      <c r="C17" s="945">
        <f>Ref_table!C495</f>
        <v>78072.9947548873</v>
      </c>
      <c r="D17" s="945">
        <f>Ref_table!D495</f>
        <v>82111.10736880107</v>
      </c>
      <c r="E17" s="945">
        <f>Ref_table!E495</f>
        <v>86676.13196886868</v>
      </c>
      <c r="F17" s="945">
        <f>Ref_table!F495</f>
        <v>90805.23299376531</v>
      </c>
      <c r="G17" s="945">
        <f>Ref_table!G495</f>
        <v>95523.40640439815</v>
      </c>
      <c r="H17" s="945">
        <f>Ref_table!H495</f>
        <v>102403.99208377294</v>
      </c>
      <c r="I17" s="945">
        <f>Ref_table!I495</f>
        <v>106619.67724013292</v>
      </c>
      <c r="J17" s="945">
        <f>Ref_table!J495</f>
        <v>110602.99216416615</v>
      </c>
      <c r="K17" s="945">
        <f>Ref_table!K495</f>
        <v>112459.76300493839</v>
      </c>
      <c r="L17" s="945">
        <f>Ref_table!L495</f>
        <v>118027.98460667512</v>
      </c>
      <c r="M17" s="966">
        <f>Ref_table!M495</f>
        <v>123047.41740959411</v>
      </c>
      <c r="N17" s="93"/>
    </row>
    <row r="18" spans="1:14" ht="15.75">
      <c r="A18" s="615" t="str">
        <f>Ref_table!A496</f>
        <v>N3</v>
      </c>
      <c r="B18" s="574" t="str">
        <f>Ref_table!B496</f>
        <v>Counterpart of Other Change in Volume of Ecosystem Capital</v>
      </c>
      <c r="C18" s="365">
        <f>Ref_table!C496</f>
        <v>63608.29028701288</v>
      </c>
      <c r="D18" s="365">
        <f>Ref_table!D496</f>
        <v>358850.3066389742</v>
      </c>
      <c r="E18" s="365">
        <f>Ref_table!E496</f>
        <v>254847.41422221193</v>
      </c>
      <c r="F18" s="365">
        <f>Ref_table!F496</f>
        <v>175867.0166180233</v>
      </c>
      <c r="G18" s="365">
        <f>Ref_table!G496</f>
        <v>37156.667588199</v>
      </c>
      <c r="H18" s="365">
        <f>Ref_table!H496</f>
        <v>421606.10095191724</v>
      </c>
      <c r="I18" s="365">
        <f>Ref_table!I496</f>
        <v>1311935.7963063386</v>
      </c>
      <c r="J18" s="365">
        <f>Ref_table!J496</f>
        <v>51468.494355744464</v>
      </c>
      <c r="K18" s="365">
        <f>Ref_table!K496</f>
        <v>1363404.2906620828</v>
      </c>
      <c r="L18" s="365">
        <f>Ref_table!L496</f>
        <v>69390.25877578658</v>
      </c>
      <c r="M18" s="408">
        <f>Ref_table!M496</f>
        <v>13878.051755157314</v>
      </c>
      <c r="N18" s="93"/>
    </row>
    <row r="19" spans="1:14" ht="15">
      <c r="A19" s="490" t="str">
        <f>Ref_table!A497</f>
        <v>n32</v>
      </c>
      <c r="B19" s="882" t="str">
        <f>Ref_table!B497</f>
        <v>(+) (-) Ecosystem spontaneous natural improvement, in 10^6 € (n31= f72 in EPUE*Unit price)</v>
      </c>
      <c r="C19" s="487">
        <f>Ref_table!C497</f>
        <v>93738.5330545453</v>
      </c>
      <c r="D19" s="487">
        <f>Ref_table!D497</f>
        <v>470991.02746365365</v>
      </c>
      <c r="E19" s="487">
        <f>Ref_table!E497</f>
        <v>334487.23116665316</v>
      </c>
      <c r="F19" s="487">
        <f>Ref_table!F497</f>
        <v>192354.549425963</v>
      </c>
      <c r="G19" s="487">
        <f>Ref_table!G497</f>
        <v>48768.12620951119</v>
      </c>
      <c r="H19" s="487">
        <f>Ref_table!H497</f>
        <v>553358.0074993914</v>
      </c>
      <c r="I19" s="487">
        <f>Ref_table!I497</f>
        <v>1693697.474819718</v>
      </c>
      <c r="J19" s="487">
        <f>Ref_table!J497</f>
        <v>67552.39884191462</v>
      </c>
      <c r="K19" s="487">
        <f>Ref_table!K497</f>
        <v>1761249.8736616322</v>
      </c>
      <c r="L19" s="487">
        <f>Ref_table!L497</f>
        <v>91074.7146432199</v>
      </c>
      <c r="M19" s="491">
        <f>Ref_table!M497</f>
        <v>18214.942928643977</v>
      </c>
      <c r="N19" s="93"/>
    </row>
    <row r="20" spans="1:14" ht="15">
      <c r="A20" s="490" t="str">
        <f>Ref_table!A498</f>
        <v>n32</v>
      </c>
      <c r="B20" s="875" t="str">
        <f>Ref_table!B498</f>
        <v>(-) Effect of natural disturbances, in 10^6 € (n32= f82 in EPUE*Unit price)</v>
      </c>
      <c r="C20" s="487">
        <f>Ref_table!C498</f>
        <v>30130.24276753242</v>
      </c>
      <c r="D20" s="487">
        <f>Ref_table!D498</f>
        <v>112140.72082467948</v>
      </c>
      <c r="E20" s="487">
        <f>Ref_table!E498</f>
        <v>79639.81694444125</v>
      </c>
      <c r="F20" s="487">
        <f>Ref_table!F498</f>
        <v>16487.532807939686</v>
      </c>
      <c r="G20" s="487">
        <f>Ref_table!G498</f>
        <v>11611.45862131219</v>
      </c>
      <c r="H20" s="487">
        <f>Ref_table!H498</f>
        <v>131751.90654747418</v>
      </c>
      <c r="I20" s="487">
        <f>Ref_table!I498</f>
        <v>381761.6785133792</v>
      </c>
      <c r="J20" s="487">
        <f>Ref_table!J498</f>
        <v>16083.904486170151</v>
      </c>
      <c r="K20" s="487">
        <f>Ref_table!K498</f>
        <v>397845.58299954934</v>
      </c>
      <c r="L20" s="487">
        <f>Ref_table!L498</f>
        <v>21684.45586743331</v>
      </c>
      <c r="M20" s="491">
        <f>Ref_table!M498</f>
        <v>4336.891173486662</v>
      </c>
      <c r="N20" s="93"/>
    </row>
    <row r="21" spans="1:14" ht="15.75">
      <c r="A21" s="295" t="str">
        <f>Ref_table!A499</f>
        <v>N4</v>
      </c>
      <c r="B21" s="574" t="str">
        <f>Ref_table!B499</f>
        <v>Net Accumulation of Financial Ecosystem Assets, in 10^6 € (-) or (+) [N4=n21+n31-n22-n32]</v>
      </c>
      <c r="C21" s="904">
        <f>Ref_table!C499</f>
        <v>-17411.28932774961</v>
      </c>
      <c r="D21" s="904">
        <f>Ref_table!D499</f>
        <v>349884.00869304396</v>
      </c>
      <c r="E21" s="904">
        <f>Ref_table!E499</f>
        <v>175658.82603257836</v>
      </c>
      <c r="F21" s="904">
        <f>Ref_table!F499</f>
        <v>25162.98891653429</v>
      </c>
      <c r="G21" s="904">
        <f>Ref_table!G499</f>
        <v>-187198.27021027406</v>
      </c>
      <c r="H21" s="904">
        <f>Ref_table!H499</f>
        <v>395838.1220616093</v>
      </c>
      <c r="I21" s="904">
        <f>Ref_table!I499</f>
        <v>1764060.99488218</v>
      </c>
      <c r="J21" s="904">
        <f>Ref_table!J499</f>
        <v>-203552.75377663912</v>
      </c>
      <c r="K21" s="904">
        <f>Ref_table!K499</f>
        <v>1829486.1449599094</v>
      </c>
      <c r="L21" s="904">
        <f>Ref_table!L499</f>
        <v>-194613.60413325412</v>
      </c>
      <c r="M21" s="967">
        <f>Ref_table!M499</f>
        <v>-294238.7802001014</v>
      </c>
      <c r="N21" s="93"/>
    </row>
    <row r="22" spans="1:14" ht="15">
      <c r="A22" s="113" t="str">
        <f>Ref_table!A500</f>
        <v>n41</v>
      </c>
      <c r="B22" s="896" t="str">
        <f>Ref_table!B500</f>
        <v>Land ecosystems</v>
      </c>
      <c r="C22" s="940">
        <f>Ref_table!C500</f>
        <v>-5223.386798324883</v>
      </c>
      <c r="D22" s="940">
        <f>Ref_table!D500</f>
        <v>104965.20260791319</v>
      </c>
      <c r="E22" s="940">
        <f>Ref_table!E500</f>
        <v>52697.64780977351</v>
      </c>
      <c r="F22" s="940">
        <f>Ref_table!F500</f>
        <v>7548.896674960287</v>
      </c>
      <c r="G22" s="940">
        <f>Ref_table!G500</f>
        <v>-56159.48106308222</v>
      </c>
      <c r="H22" s="940">
        <f>Ref_table!H500</f>
        <v>118751.43661848278</v>
      </c>
      <c r="I22" s="940">
        <f>Ref_table!I500</f>
        <v>529218.2984646539</v>
      </c>
      <c r="J22" s="940">
        <f>Ref_table!J500</f>
        <v>-61065.82613299173</v>
      </c>
      <c r="K22" s="940">
        <f>Ref_table!K500</f>
        <v>548845.8434879727</v>
      </c>
      <c r="L22" s="940">
        <f>Ref_table!L500</f>
        <v>-58384.081239976236</v>
      </c>
      <c r="M22" s="968">
        <f>Ref_table!M500</f>
        <v>-88271.63406003041</v>
      </c>
      <c r="N22" s="93"/>
    </row>
    <row r="23" spans="1:14" ht="15">
      <c r="A23" s="113" t="str">
        <f>Ref_table!A501</f>
        <v>n42</v>
      </c>
      <c r="B23" s="896" t="str">
        <f>Ref_table!B501</f>
        <v>River ecosystems</v>
      </c>
      <c r="C23" s="940">
        <f>Ref_table!C501</f>
        <v>-2611.6933991624414</v>
      </c>
      <c r="D23" s="940">
        <f>Ref_table!D501</f>
        <v>52482.601303956595</v>
      </c>
      <c r="E23" s="940">
        <f>Ref_table!E501</f>
        <v>26348.823904886754</v>
      </c>
      <c r="F23" s="940">
        <f>Ref_table!F501</f>
        <v>3774.4483374801434</v>
      </c>
      <c r="G23" s="940">
        <f>Ref_table!G501</f>
        <v>-28079.74053154111</v>
      </c>
      <c r="H23" s="940">
        <f>Ref_table!H501</f>
        <v>59375.71830924139</v>
      </c>
      <c r="I23" s="940">
        <f>Ref_table!I501</f>
        <v>264609.14923232695</v>
      </c>
      <c r="J23" s="940">
        <f>Ref_table!J501</f>
        <v>-30532.913066495865</v>
      </c>
      <c r="K23" s="940">
        <f>Ref_table!K501</f>
        <v>274422.9217439864</v>
      </c>
      <c r="L23" s="940">
        <f>Ref_table!L501</f>
        <v>-29192.040619988118</v>
      </c>
      <c r="M23" s="968">
        <f>Ref_table!M501</f>
        <v>-44135.817030015205</v>
      </c>
      <c r="N23" s="93"/>
    </row>
    <row r="24" spans="1:14" ht="15">
      <c r="A24" s="113" t="str">
        <f>Ref_table!A502</f>
        <v>n43</v>
      </c>
      <c r="B24" s="896" t="str">
        <f>Ref_table!B502</f>
        <v>Sea</v>
      </c>
      <c r="C24" s="940">
        <f>Ref_table!C502</f>
        <v>-870.5644663874828</v>
      </c>
      <c r="D24" s="940">
        <f>Ref_table!D502</f>
        <v>17494.200434652215</v>
      </c>
      <c r="E24" s="940">
        <f>Ref_table!E502</f>
        <v>8782.941301628918</v>
      </c>
      <c r="F24" s="940">
        <f>Ref_table!F502</f>
        <v>1258.1494458267134</v>
      </c>
      <c r="G24" s="940">
        <f>Ref_table!G502</f>
        <v>-9359.91351051371</v>
      </c>
      <c r="H24" s="940">
        <f>Ref_table!H502</f>
        <v>19791.90610308043</v>
      </c>
      <c r="I24" s="940">
        <f>Ref_table!I502</f>
        <v>88203.04974410892</v>
      </c>
      <c r="J24" s="940">
        <f>Ref_table!J502</f>
        <v>-10177.637688831965</v>
      </c>
      <c r="K24" s="940">
        <f>Ref_table!K502</f>
        <v>91474.3072479954</v>
      </c>
      <c r="L24" s="940">
        <f>Ref_table!L502</f>
        <v>-9730.680206662699</v>
      </c>
      <c r="M24" s="968">
        <f>Ref_table!M502</f>
        <v>-14711.939010005095</v>
      </c>
      <c r="N24" s="93"/>
    </row>
    <row r="25" spans="1:14" ht="15">
      <c r="A25" s="113" t="str">
        <f>Ref_table!A503</f>
        <v>n44</v>
      </c>
      <c r="B25" s="896" t="str">
        <f>Ref_table!B503</f>
        <v>Atmosphere</v>
      </c>
      <c r="C25" s="940">
        <f>Ref_table!C503</f>
        <v>-8705.644663874806</v>
      </c>
      <c r="D25" s="940">
        <f>Ref_table!D503</f>
        <v>174942.00434652198</v>
      </c>
      <c r="E25" s="940">
        <f>Ref_table!E503</f>
        <v>87829.41301628918</v>
      </c>
      <c r="F25" s="940">
        <f>Ref_table!F503</f>
        <v>12581.494458267145</v>
      </c>
      <c r="G25" s="940">
        <f>Ref_table!G503</f>
        <v>-93599.13510513703</v>
      </c>
      <c r="H25" s="940">
        <f>Ref_table!H503</f>
        <v>197919.06103080465</v>
      </c>
      <c r="I25" s="940">
        <f>Ref_table!I503</f>
        <v>882030.49744109</v>
      </c>
      <c r="J25" s="940">
        <f>Ref_table!J503</f>
        <v>-101776.37688831956</v>
      </c>
      <c r="K25" s="940">
        <f>Ref_table!K503</f>
        <v>914743.0724799547</v>
      </c>
      <c r="L25" s="940">
        <f>Ref_table!L503</f>
        <v>-97306.80206662706</v>
      </c>
      <c r="M25" s="968">
        <f>Ref_table!M503</f>
        <v>-147119.3901000507</v>
      </c>
      <c r="N25" s="93"/>
    </row>
    <row r="26" spans="1:14" ht="15.75">
      <c r="A26" s="295">
        <f>Ref_table!A504</f>
        <v>0</v>
      </c>
      <c r="B26" s="574" t="str">
        <f>Ref_table!B504</f>
        <v>Acquisition of New Other Financial Assets</v>
      </c>
      <c r="C26" s="904">
        <f>Ref_table!C504</f>
        <v>0</v>
      </c>
      <c r="D26" s="904">
        <f>Ref_table!D504</f>
        <v>0</v>
      </c>
      <c r="E26" s="904">
        <f>Ref_table!E504</f>
        <v>0</v>
      </c>
      <c r="F26" s="904">
        <f>Ref_table!F504</f>
        <v>0</v>
      </c>
      <c r="G26" s="904">
        <f>Ref_table!G504</f>
        <v>0</v>
      </c>
      <c r="H26" s="904">
        <f>Ref_table!H504</f>
        <v>0</v>
      </c>
      <c r="I26" s="904">
        <f>Ref_table!I504</f>
        <v>0</v>
      </c>
      <c r="J26" s="904">
        <f>Ref_table!J504</f>
        <v>0</v>
      </c>
      <c r="K26" s="904">
        <f>Ref_table!K504</f>
        <v>0</v>
      </c>
      <c r="L26" s="904">
        <f>Ref_table!L504</f>
        <v>0</v>
      </c>
      <c r="M26" s="967">
        <f>Ref_table!M504</f>
        <v>0</v>
      </c>
      <c r="N26" s="93"/>
    </row>
    <row r="27" spans="1:14" ht="15.75">
      <c r="A27" s="932" t="str">
        <f>Ref_table!A505</f>
        <v>N5</v>
      </c>
      <c r="B27" s="933" t="str">
        <f>Ref_table!B505</f>
        <v> Ecosystem Potential Closing Balance Sheet, in 10 € - Non Relevant (NR)</v>
      </c>
      <c r="C27" s="934" t="str">
        <f>Ref_table!C505</f>
        <v>NR</v>
      </c>
      <c r="D27" s="934" t="str">
        <f>Ref_table!D505</f>
        <v>NR</v>
      </c>
      <c r="E27" s="934" t="str">
        <f>Ref_table!E505</f>
        <v>NR</v>
      </c>
      <c r="F27" s="934" t="str">
        <f>Ref_table!F505</f>
        <v>NR</v>
      </c>
      <c r="G27" s="934" t="str">
        <f>Ref_table!G505</f>
        <v>NR</v>
      </c>
      <c r="H27" s="934" t="str">
        <f>Ref_table!H505</f>
        <v>NR</v>
      </c>
      <c r="I27" s="934" t="str">
        <f>Ref_table!I505</f>
        <v>NR</v>
      </c>
      <c r="J27" s="934" t="str">
        <f>Ref_table!J505</f>
        <v>NR</v>
      </c>
      <c r="K27" s="934" t="str">
        <f>Ref_table!K505</f>
        <v>NR</v>
      </c>
      <c r="L27" s="934" t="str">
        <f>Ref_table!L505</f>
        <v>NR</v>
      </c>
      <c r="M27" s="964" t="str">
        <f>Ref_table!M505</f>
        <v>NR</v>
      </c>
      <c r="N27" s="93"/>
    </row>
    <row r="28" spans="1:14" ht="15">
      <c r="A28" s="490" t="str">
        <f>Ref_table!A506</f>
        <v>n51</v>
      </c>
      <c r="B28" s="1007" t="str">
        <f>Ref_table!B506</f>
        <v>Market value of ecosystem economic non-financial assets, 10^6 € (from SEEA vol.1)</v>
      </c>
      <c r="C28" s="487">
        <f>Ref_table!C506</f>
        <v>2040000</v>
      </c>
      <c r="D28" s="487">
        <f>Ref_table!D506</f>
        <v>2080800</v>
      </c>
      <c r="E28" s="487">
        <f>Ref_table!E506</f>
        <v>2122416</v>
      </c>
      <c r="F28" s="487">
        <f>Ref_table!F506</f>
        <v>2164864.32</v>
      </c>
      <c r="G28" s="487">
        <f>Ref_table!G506</f>
        <v>2208161.6064</v>
      </c>
      <c r="H28" s="487">
        <f>Ref_table!H506</f>
        <v>2252324.838528</v>
      </c>
      <c r="I28" s="487">
        <f>Ref_table!I506</f>
        <v>2297371.3352985596</v>
      </c>
      <c r="J28" s="487">
        <f>Ref_table!J506</f>
        <v>2343318.762004531</v>
      </c>
      <c r="K28" s="487">
        <f>Ref_table!K506</f>
        <v>2390185.1372446218</v>
      </c>
      <c r="L28" s="487">
        <f>Ref_table!L506</f>
        <v>2437988.839989514</v>
      </c>
      <c r="M28" s="491">
        <f>Ref_table!M506</f>
        <v>2486748.616789304</v>
      </c>
      <c r="N28" s="93"/>
    </row>
    <row r="29" spans="1:14" ht="15">
      <c r="A29" s="490" t="str">
        <f>Ref_table!A507</f>
        <v>n52</v>
      </c>
      <c r="B29" s="1007" t="str">
        <f>Ref_table!B507</f>
        <v>Financial ecosystem assets, 10^6 € </v>
      </c>
      <c r="C29" s="487">
        <f>Ref_table!C507</f>
        <v>0</v>
      </c>
      <c r="D29" s="487">
        <f>Ref_table!D507</f>
        <v>0</v>
      </c>
      <c r="E29" s="487">
        <f>Ref_table!E507</f>
        <v>0</v>
      </c>
      <c r="F29" s="487">
        <f>Ref_table!F507</f>
        <v>0</v>
      </c>
      <c r="G29" s="487">
        <f>Ref_table!G507</f>
        <v>0</v>
      </c>
      <c r="H29" s="487">
        <f>Ref_table!H507</f>
        <v>0</v>
      </c>
      <c r="I29" s="487">
        <f>Ref_table!I507</f>
        <v>0</v>
      </c>
      <c r="J29" s="487">
        <f>Ref_table!J507</f>
        <v>0</v>
      </c>
      <c r="K29" s="487">
        <f>Ref_table!K507</f>
        <v>0</v>
      </c>
      <c r="L29" s="487">
        <f>Ref_table!L507</f>
        <v>0</v>
      </c>
      <c r="M29" s="491">
        <f>Ref_table!M507</f>
        <v>0</v>
      </c>
      <c r="N29" s="93"/>
    </row>
    <row r="30" spans="1:14" ht="15.75" thickBot="1">
      <c r="A30" s="1010" t="str">
        <f>Ref_table!A508</f>
        <v>n53</v>
      </c>
      <c r="B30" s="122" t="str">
        <f>Ref_table!B508</f>
        <v>Market value of ecosystem public good assets, in 10 €  - Non Relevant (NR)</v>
      </c>
      <c r="C30" s="1008" t="str">
        <f>Ref_table!C508</f>
        <v>NR</v>
      </c>
      <c r="D30" s="1008" t="str">
        <f>Ref_table!D508</f>
        <v>NR</v>
      </c>
      <c r="E30" s="1008" t="str">
        <f>Ref_table!E508</f>
        <v>NR</v>
      </c>
      <c r="F30" s="1008" t="str">
        <f>Ref_table!F508</f>
        <v>NR</v>
      </c>
      <c r="G30" s="1008" t="str">
        <f>Ref_table!G508</f>
        <v>NR</v>
      </c>
      <c r="H30" s="1008" t="str">
        <f>Ref_table!H508</f>
        <v>NR</v>
      </c>
      <c r="I30" s="1008" t="str">
        <f>Ref_table!I508</f>
        <v>NR</v>
      </c>
      <c r="J30" s="1008" t="str">
        <f>Ref_table!J508</f>
        <v>NR</v>
      </c>
      <c r="K30" s="1008" t="str">
        <f>Ref_table!K508</f>
        <v>NR</v>
      </c>
      <c r="L30" s="1008" t="str">
        <f>Ref_table!L508</f>
        <v>NR</v>
      </c>
      <c r="M30" s="1011" t="str">
        <f>Ref_table!M508</f>
        <v>NR</v>
      </c>
      <c r="N30" s="93"/>
    </row>
    <row r="31" spans="1:14" ht="18.75">
      <c r="A31" s="1050" t="str">
        <f>Ref_table!A509</f>
        <v>Monetary Liabilities [in EPUE]</v>
      </c>
      <c r="B31" s="1051">
        <f>Ref_table!B509</f>
        <v>0</v>
      </c>
      <c r="C31" s="1051">
        <f>Ref_table!C509</f>
        <v>0</v>
      </c>
      <c r="D31" s="1051">
        <f>Ref_table!D509</f>
        <v>0</v>
      </c>
      <c r="E31" s="1051">
        <f>Ref_table!E509</f>
        <v>0</v>
      </c>
      <c r="F31" s="1051">
        <f>Ref_table!F509</f>
        <v>0</v>
      </c>
      <c r="G31" s="1051">
        <f>Ref_table!G509</f>
        <v>0</v>
      </c>
      <c r="H31" s="1051">
        <f>Ref_table!H509</f>
        <v>0</v>
      </c>
      <c r="I31" s="1051">
        <f>Ref_table!I509</f>
        <v>0</v>
      </c>
      <c r="J31" s="1051">
        <f>Ref_table!J509</f>
        <v>0</v>
      </c>
      <c r="K31" s="1051">
        <f>Ref_table!K509</f>
        <v>0</v>
      </c>
      <c r="L31" s="1051">
        <f>Ref_table!L509</f>
        <v>0</v>
      </c>
      <c r="M31" s="1052">
        <f>Ref_table!M509</f>
        <v>0</v>
      </c>
      <c r="N31" s="93"/>
    </row>
    <row r="32" spans="1:14" ht="15.75">
      <c r="A32" s="615" t="str">
        <f>Ref_table!A510</f>
        <v>N6</v>
      </c>
      <c r="B32" s="600" t="str">
        <f>Ref_table!B510</f>
        <v>Opening Balance Sheet</v>
      </c>
      <c r="C32" s="916">
        <f>Ref_table!C510</f>
        <v>335220000</v>
      </c>
      <c r="D32" s="692">
        <f>Ref_table!D510</f>
        <v>335320855.21452695</v>
      </c>
      <c r="E32" s="692">
        <f>Ref_table!E510</f>
        <v>323376407.3196204</v>
      </c>
      <c r="F32" s="692">
        <f>Ref_table!F510</f>
        <v>313255983.44237125</v>
      </c>
      <c r="G32" s="692">
        <f>Ref_table!G510</f>
        <v>300321399.4141361</v>
      </c>
      <c r="H32" s="692">
        <f>Ref_table!H510</f>
        <v>286688366.77565247</v>
      </c>
      <c r="I32" s="692">
        <f>Ref_table!I510</f>
        <v>270196950.7116289</v>
      </c>
      <c r="J32" s="692">
        <f>Ref_table!J510</f>
        <v>256609423.46113718</v>
      </c>
      <c r="K32" s="692">
        <f>Ref_table!K510</f>
        <v>1097461693.3646703</v>
      </c>
      <c r="L32" s="692">
        <f>Ref_table!L510</f>
        <v>1090514616.9870386</v>
      </c>
      <c r="M32" s="693">
        <f>Ref_table!M510</f>
        <v>1086024165.915637</v>
      </c>
      <c r="N32" s="93"/>
    </row>
    <row r="33" spans="1:14" ht="15.75">
      <c r="A33" s="615" t="str">
        <f>Ref_table!A511</f>
        <v>n61</v>
      </c>
      <c r="B33" s="600" t="str">
        <f>Ref_table!B511</f>
        <v>Distance to ecosystem restoration targets (historical damages, conventions/ regulations)</v>
      </c>
      <c r="C33" s="692">
        <f>Ref_table!C511</f>
        <v>335220000</v>
      </c>
      <c r="D33" s="692">
        <f>Ref_table!D511</f>
        <v>323628037.0171982</v>
      </c>
      <c r="E33" s="692">
        <f>Ref_table!E511</f>
        <v>313655449.0343964</v>
      </c>
      <c r="F33" s="692">
        <f>Ref_table!F511</f>
        <v>300650501.67659456</v>
      </c>
      <c r="G33" s="692">
        <f>Ref_table!G511</f>
        <v>286723779.5214613</v>
      </c>
      <c r="H33" s="692">
        <f>Ref_table!H511</f>
        <v>270639136.2354687</v>
      </c>
      <c r="I33" s="692">
        <f>Ref_table!I511</f>
        <v>259061630.29688823</v>
      </c>
      <c r="J33" s="692">
        <f>Ref_table!J511</f>
        <v>1099581769.2516472</v>
      </c>
      <c r="K33" s="692">
        <f>Ref_table!K511</f>
        <v>1094719728.1729789</v>
      </c>
      <c r="L33" s="692">
        <f>Ref_table!L511</f>
        <v>1089915795.0111098</v>
      </c>
      <c r="M33" s="693">
        <f>Ref_table!M511</f>
        <v>1085168517.0681195</v>
      </c>
      <c r="N33" s="93"/>
    </row>
    <row r="34" spans="1:14" ht="15">
      <c r="A34" s="125" t="str">
        <f>Ref_table!A512</f>
        <v>n611</v>
      </c>
      <c r="B34" s="36" t="str">
        <f>Ref_table!B512</f>
        <v>National targets/ cost of programmes in 10^6 €</v>
      </c>
      <c r="C34" s="691">
        <f>Ref_table!C512</f>
        <v>111000000</v>
      </c>
      <c r="D34" s="691">
        <f>Ref_table!D512</f>
        <v>102355918.64431195</v>
      </c>
      <c r="E34" s="691">
        <f>Ref_table!E512</f>
        <v>93711837.2886239</v>
      </c>
      <c r="F34" s="691">
        <f>Ref_table!F512</f>
        <v>85067755.93293583</v>
      </c>
      <c r="G34" s="691">
        <f>Ref_table!G512</f>
        <v>76423674.57724778</v>
      </c>
      <c r="H34" s="691">
        <f>Ref_table!H512</f>
        <v>67779593.22155973</v>
      </c>
      <c r="I34" s="691">
        <f>Ref_table!I512</f>
        <v>59135511.86587168</v>
      </c>
      <c r="J34" s="691">
        <f>Ref_table!J512</f>
        <v>888000000</v>
      </c>
      <c r="K34" s="691">
        <f>Ref_table!K512</f>
        <v>888000000</v>
      </c>
      <c r="L34" s="691">
        <f>Ref_table!L512</f>
        <v>888000000</v>
      </c>
      <c r="M34" s="699">
        <f>Ref_table!M512</f>
        <v>888000000</v>
      </c>
      <c r="N34" s="93"/>
    </row>
    <row r="35" spans="1:14" ht="15">
      <c r="A35" s="125" t="str">
        <f>Ref_table!A513</f>
        <v>n612</v>
      </c>
      <c r="B35" s="36" t="str">
        <f>Ref_table!B513</f>
        <v>International targets/ cost of programmes in 10^6 €</v>
      </c>
      <c r="C35" s="691">
        <f>Ref_table!C513</f>
        <v>111000000</v>
      </c>
      <c r="D35" s="691">
        <f>Ref_table!D513</f>
        <v>111000000</v>
      </c>
      <c r="E35" s="691">
        <f>Ref_table!E513</f>
        <v>111000000</v>
      </c>
      <c r="F35" s="691">
        <f>Ref_table!F513</f>
        <v>111000000</v>
      </c>
      <c r="G35" s="691">
        <f>Ref_table!G513</f>
        <v>108462275.59329358</v>
      </c>
      <c r="H35" s="691">
        <f>Ref_table!H513</f>
        <v>105924551.18658715</v>
      </c>
      <c r="I35" s="691">
        <f>Ref_table!I513</f>
        <v>103386826.77988073</v>
      </c>
      <c r="J35" s="691">
        <f>Ref_table!J513</f>
        <v>100849102.37317431</v>
      </c>
      <c r="K35" s="691">
        <f>Ref_table!K513</f>
        <v>98311377.9664679</v>
      </c>
      <c r="L35" s="691">
        <f>Ref_table!L513</f>
        <v>95773653.55976148</v>
      </c>
      <c r="M35" s="699">
        <f>Ref_table!M513</f>
        <v>93235929.15305506</v>
      </c>
      <c r="N35" s="93"/>
    </row>
    <row r="36" spans="1:14" ht="15">
      <c r="A36" s="125" t="str">
        <f>Ref_table!A514</f>
        <v>n613</v>
      </c>
      <c r="B36" s="36" t="str">
        <f>Ref_table!B514</f>
        <v>Private targets/ cost of programmes in 10^6 €</v>
      </c>
      <c r="C36" s="691">
        <f>Ref_table!C514</f>
        <v>111000000</v>
      </c>
      <c r="D36" s="691">
        <f>Ref_table!D514</f>
        <v>108225000</v>
      </c>
      <c r="E36" s="691">
        <f>Ref_table!E514</f>
        <v>105519375</v>
      </c>
      <c r="F36" s="691">
        <f>Ref_table!F514</f>
        <v>102881390.625</v>
      </c>
      <c r="G36" s="691">
        <f>Ref_table!G514</f>
        <v>100309355.859375</v>
      </c>
      <c r="H36" s="691">
        <f>Ref_table!H514</f>
        <v>97801621.96289062</v>
      </c>
      <c r="I36" s="691">
        <f>Ref_table!I514</f>
        <v>95356581.41381836</v>
      </c>
      <c r="J36" s="691">
        <f>Ref_table!J514</f>
        <v>92972666.8784729</v>
      </c>
      <c r="K36" s="691">
        <f>Ref_table!K514</f>
        <v>90648350.20651108</v>
      </c>
      <c r="L36" s="691">
        <f>Ref_table!L514</f>
        <v>88382141.45134829</v>
      </c>
      <c r="M36" s="699">
        <f>Ref_table!M514</f>
        <v>86172587.91506457</v>
      </c>
      <c r="N36" s="93"/>
    </row>
    <row r="37" spans="1:14" ht="15">
      <c r="A37" s="490" t="str">
        <f>Ref_table!A515</f>
        <v>n64</v>
      </c>
      <c r="B37" s="875" t="str">
        <f>Ref_table!B515</f>
        <v>Change in ecosystem restoration targets</v>
      </c>
      <c r="C37" s="910">
        <f>Ref_table!C515</f>
        <v>0</v>
      </c>
      <c r="D37" s="910">
        <f>Ref_table!D515</f>
        <v>0</v>
      </c>
      <c r="E37" s="910">
        <f>Ref_table!E515</f>
        <v>1550000</v>
      </c>
      <c r="F37" s="910">
        <f>Ref_table!F515</f>
        <v>0</v>
      </c>
      <c r="G37" s="910">
        <f>Ref_table!G515</f>
        <v>0</v>
      </c>
      <c r="H37" s="910">
        <f>Ref_table!H515</f>
        <v>-2222222</v>
      </c>
      <c r="I37" s="910">
        <f>Ref_table!I515</f>
        <v>0</v>
      </c>
      <c r="J37" s="910">
        <f>Ref_table!J515</f>
        <v>0</v>
      </c>
      <c r="K37" s="910">
        <f>Ref_table!K515</f>
        <v>0</v>
      </c>
      <c r="L37" s="910">
        <f>Ref_table!L515</f>
        <v>0</v>
      </c>
      <c r="M37" s="911">
        <f>Ref_table!M515</f>
        <v>0</v>
      </c>
      <c r="N37" s="93"/>
    </row>
    <row r="38" spans="1:14" ht="15">
      <c r="A38" s="490" t="str">
        <f>Ref_table!A516</f>
        <v>n65</v>
      </c>
      <c r="B38" s="875" t="str">
        <f>Ref_table!B516</f>
        <v>Revaluation of programmes cost</v>
      </c>
      <c r="C38" s="910">
        <f>Ref_table!C516</f>
        <v>2220000</v>
      </c>
      <c r="D38" s="910">
        <f>Ref_table!D516</f>
        <v>2047118.372886239</v>
      </c>
      <c r="E38" s="910">
        <f>Ref_table!E516</f>
        <v>1874236.745772478</v>
      </c>
      <c r="F38" s="910">
        <f>Ref_table!F516</f>
        <v>1701355.1186587168</v>
      </c>
      <c r="G38" s="910">
        <f>Ref_table!G516</f>
        <v>1528473.4915449556</v>
      </c>
      <c r="H38" s="910">
        <f>Ref_table!H516</f>
        <v>1355591.8644311947</v>
      </c>
      <c r="I38" s="910">
        <f>Ref_table!I516</f>
        <v>1182710.2373174336</v>
      </c>
      <c r="J38" s="910">
        <f>Ref_table!J516</f>
        <v>17760000</v>
      </c>
      <c r="K38" s="910">
        <f>Ref_table!K516</f>
        <v>17760000</v>
      </c>
      <c r="L38" s="910">
        <f>Ref_table!L516</f>
        <v>17760000</v>
      </c>
      <c r="M38" s="911">
        <f>Ref_table!M516</f>
        <v>17760000</v>
      </c>
      <c r="N38" s="93"/>
    </row>
    <row r="39" spans="1:14" ht="15.75">
      <c r="A39" s="615" t="str">
        <f>Ref_table!A517</f>
        <v>N7</v>
      </c>
      <c r="B39" s="600" t="str">
        <f>Ref_table!B517</f>
        <v>Acquisition of New Other Financial Liabilities</v>
      </c>
      <c r="C39" s="692">
        <f>Ref_table!C517</f>
        <v>235877.40460488066</v>
      </c>
      <c r="D39" s="692">
        <f>Ref_table!D517</f>
        <v>320692.4128432637</v>
      </c>
      <c r="E39" s="692">
        <f>Ref_table!E517</f>
        <v>330336.0072193417</v>
      </c>
      <c r="F39" s="692">
        <f>Ref_table!F517</f>
        <v>345488.5430323718</v>
      </c>
      <c r="G39" s="692">
        <f>Ref_table!G517</f>
        <v>364468.26837745064</v>
      </c>
      <c r="H39" s="692">
        <f>Ref_table!H517</f>
        <v>384071.6612539243</v>
      </c>
      <c r="I39" s="692">
        <f>Ref_table!I517</f>
        <v>409879.5092597393</v>
      </c>
      <c r="J39" s="692">
        <f>Ref_table!J517</f>
        <v>429744.3756910594</v>
      </c>
      <c r="K39" s="692">
        <f>Ref_table!K517</f>
        <v>431368.94912467815</v>
      </c>
      <c r="L39" s="692">
        <f>Ref_table!L517</f>
        <v>443921.8256721623</v>
      </c>
      <c r="M39" s="693">
        <f>Ref_table!M517</f>
        <v>457202.781790536</v>
      </c>
      <c r="N39" s="93"/>
    </row>
    <row r="40" spans="1:14" ht="15">
      <c r="A40" s="941" t="str">
        <f>Ref_table!A518</f>
        <v>n71</v>
      </c>
      <c r="B40" s="875" t="str">
        <f>Ref_table!B518</f>
        <v>Territorial Consumption of Ecosystem Capital (TCEC) (n71=M1=J1)</v>
      </c>
      <c r="C40" s="487">
        <f>Ref_table!C518</f>
        <v>121193.23663813906</v>
      </c>
      <c r="D40" s="487">
        <f>Ref_table!D518</f>
        <v>210819.59543035316</v>
      </c>
      <c r="E40" s="487">
        <f>Ref_table!E518</f>
        <v>222540.2586896278</v>
      </c>
      <c r="F40" s="487">
        <f>Ref_table!F518</f>
        <v>233141.69174118742</v>
      </c>
      <c r="G40" s="487">
        <f>Ref_table!G518</f>
        <v>245255.56331683497</v>
      </c>
      <c r="H40" s="487">
        <f>Ref_table!H518</f>
        <v>262921.4106757616</v>
      </c>
      <c r="I40" s="487">
        <f>Ref_table!I518</f>
        <v>273745.14777546667</v>
      </c>
      <c r="J40" s="487">
        <f>Ref_table!J518</f>
        <v>283972.27620748983</v>
      </c>
      <c r="K40" s="487">
        <f>Ref_table!K518</f>
        <v>288739.5201285871</v>
      </c>
      <c r="L40" s="487">
        <f>Ref_table!L518</f>
        <v>303035.88347042067</v>
      </c>
      <c r="M40" s="491">
        <f>Ref_table!M518</f>
        <v>315923.23606753466</v>
      </c>
      <c r="N40" s="93"/>
    </row>
    <row r="41" spans="1:14" ht="15">
      <c r="A41" s="142" t="str">
        <f>Ref_table!A519</f>
        <v>n711</v>
      </c>
      <c r="B41" s="60" t="str">
        <f>Ref_table!B519</f>
        <v>Territorial Consumption of Ecosystem Capital, in 10^6 € - Inland ecosystems</v>
      </c>
      <c r="C41" s="909">
        <f>Ref_table!C519</f>
        <v>41934.698897757095</v>
      </c>
      <c r="D41" s="909">
        <f>Ref_table!D519</f>
        <v>127461.62610015427</v>
      </c>
      <c r="E41" s="909">
        <f>Ref_table!E519</f>
        <v>134547.94459417215</v>
      </c>
      <c r="F41" s="909">
        <f>Ref_table!F519</f>
        <v>140957.57598059665</v>
      </c>
      <c r="G41" s="909">
        <f>Ref_table!G519</f>
        <v>148281.62840678857</v>
      </c>
      <c r="H41" s="909">
        <f>Ref_table!H519</f>
        <v>158962.40799091308</v>
      </c>
      <c r="I41" s="909">
        <f>Ref_table!I519</f>
        <v>165506.44450892616</v>
      </c>
      <c r="J41" s="909">
        <f>Ref_table!J519</f>
        <v>171689.77114713445</v>
      </c>
      <c r="K41" s="909">
        <f>Ref_table!K519</f>
        <v>174572.04905379075</v>
      </c>
      <c r="L41" s="909">
        <f>Ref_table!L519</f>
        <v>183215.6370236327</v>
      </c>
      <c r="M41" s="912">
        <f>Ref_table!M519</f>
        <v>191007.33643753687</v>
      </c>
      <c r="N41" s="93"/>
    </row>
    <row r="42" spans="1:14" ht="15">
      <c r="A42" s="142" t="str">
        <f>Ref_table!A520</f>
        <v>n712</v>
      </c>
      <c r="B42" s="60" t="str">
        <f>Ref_table!B520</f>
        <v>Territorial Consumption of Ecosystem Capital, in 10^6 € - Sea/ fisheries</v>
      </c>
      <c r="C42" s="909">
        <f>Ref_table!C520</f>
        <v>1185.54298549466</v>
      </c>
      <c r="D42" s="909">
        <f>Ref_table!D520</f>
        <v>1246.861961397826</v>
      </c>
      <c r="E42" s="909">
        <f>Ref_table!E520</f>
        <v>1316.1821265869796</v>
      </c>
      <c r="F42" s="909">
        <f>Ref_table!F520</f>
        <v>1378.8827668254353</v>
      </c>
      <c r="G42" s="909">
        <f>Ref_table!G520</f>
        <v>1450.528505648244</v>
      </c>
      <c r="H42" s="909">
        <f>Ref_table!H520</f>
        <v>1555.010601075577</v>
      </c>
      <c r="I42" s="909">
        <f>Ref_table!I520</f>
        <v>1619.0260264075696</v>
      </c>
      <c r="J42" s="909">
        <f>Ref_table!J520</f>
        <v>1679.5128961892385</v>
      </c>
      <c r="K42" s="909">
        <f>Ref_table!K520</f>
        <v>1707.7080698579255</v>
      </c>
      <c r="L42" s="909">
        <f>Ref_table!L520</f>
        <v>1792.261840112852</v>
      </c>
      <c r="M42" s="912">
        <f>Ref_table!M520</f>
        <v>1868.4822204036939</v>
      </c>
      <c r="N42" s="93"/>
    </row>
    <row r="43" spans="1:14" ht="15">
      <c r="A43" s="142" t="str">
        <f>Ref_table!A521</f>
        <v>n713</v>
      </c>
      <c r="B43" s="60" t="str">
        <f>Ref_table!B521</f>
        <v>Territorial Consumption of Ecosystem Capital, 10^6 € - Atmosphere/climate</v>
      </c>
      <c r="C43" s="909">
        <f>Ref_table!C521</f>
        <v>78072.9947548873</v>
      </c>
      <c r="D43" s="909">
        <f>Ref_table!D521</f>
        <v>82111.10736880107</v>
      </c>
      <c r="E43" s="909">
        <f>Ref_table!E521</f>
        <v>86676.13196886868</v>
      </c>
      <c r="F43" s="909">
        <f>Ref_table!F521</f>
        <v>90805.23299376531</v>
      </c>
      <c r="G43" s="909">
        <f>Ref_table!G521</f>
        <v>95523.40640439815</v>
      </c>
      <c r="H43" s="909">
        <f>Ref_table!H521</f>
        <v>102403.99208377294</v>
      </c>
      <c r="I43" s="909">
        <f>Ref_table!I521</f>
        <v>106619.67724013292</v>
      </c>
      <c r="J43" s="909">
        <f>Ref_table!J521</f>
        <v>110602.99216416615</v>
      </c>
      <c r="K43" s="909">
        <f>Ref_table!K521</f>
        <v>112459.76300493839</v>
      </c>
      <c r="L43" s="909">
        <f>Ref_table!L521</f>
        <v>118027.98460667512</v>
      </c>
      <c r="M43" s="912">
        <f>Ref_table!M521</f>
        <v>123047.41740959411</v>
      </c>
      <c r="N43" s="93"/>
    </row>
    <row r="44" spans="1:14" ht="15">
      <c r="A44" s="941" t="str">
        <f>Ref_table!A522</f>
        <v>n72</v>
      </c>
      <c r="B44" s="939" t="str">
        <f>Ref_table!B522</f>
        <v>Ecosystem capital depreciation virtually embedded into imports (total)</v>
      </c>
      <c r="C44" s="900">
        <f>Ref_table!C522</f>
        <v>114684.1679667416</v>
      </c>
      <c r="D44" s="900">
        <f>Ref_table!D522</f>
        <v>109872.81741291056</v>
      </c>
      <c r="E44" s="900">
        <f>Ref_table!E522</f>
        <v>107795.74852971386</v>
      </c>
      <c r="F44" s="900">
        <f>Ref_table!F522</f>
        <v>112346.8512911844</v>
      </c>
      <c r="G44" s="900">
        <f>Ref_table!G522</f>
        <v>119212.70506061567</v>
      </c>
      <c r="H44" s="900">
        <f>Ref_table!H522</f>
        <v>121150.25057816273</v>
      </c>
      <c r="I44" s="900">
        <f>Ref_table!I522</f>
        <v>136134.3614842726</v>
      </c>
      <c r="J44" s="900">
        <f>Ref_table!J522</f>
        <v>145772.09948356953</v>
      </c>
      <c r="K44" s="900">
        <f>Ref_table!K522</f>
        <v>142629.42899609107</v>
      </c>
      <c r="L44" s="900">
        <f>Ref_table!L522</f>
        <v>140885.94220174162</v>
      </c>
      <c r="M44" s="901">
        <f>Ref_table!M522</f>
        <v>141279.54572300136</v>
      </c>
      <c r="N44" s="93"/>
    </row>
    <row r="45" spans="1:14" ht="15">
      <c r="A45" s="142" t="str">
        <f>Ref_table!A523</f>
        <v>n721</v>
      </c>
      <c r="B45" s="60" t="str">
        <f>Ref_table!B523</f>
        <v>Ecosystem capital depreciation embedded in "consumed imports", agriculture &amp; forest, in EPUE</v>
      </c>
      <c r="C45" s="909">
        <f>Ref_table!C523</f>
        <v>83158.10146708532</v>
      </c>
      <c r="D45" s="909">
        <f>Ref_table!D523</f>
        <v>76825.88758827145</v>
      </c>
      <c r="E45" s="909">
        <f>Ref_table!E523</f>
        <v>73153.0210138428</v>
      </c>
      <c r="F45" s="909">
        <f>Ref_table!F523</f>
        <v>76029.66717551977</v>
      </c>
      <c r="G45" s="909">
        <f>Ref_table!G523</f>
        <v>81138.49511068781</v>
      </c>
      <c r="H45" s="909">
        <f>Ref_table!H523</f>
        <v>81232.34016968888</v>
      </c>
      <c r="I45" s="909">
        <f>Ref_table!I523</f>
        <v>94281.76579510448</v>
      </c>
      <c r="J45" s="909">
        <f>Ref_table!J523</f>
        <v>101889.308454467</v>
      </c>
      <c r="K45" s="909">
        <f>Ref_table!K523</f>
        <v>96616.18154894788</v>
      </c>
      <c r="L45" s="909">
        <f>Ref_table!L523</f>
        <v>92636.98917832402</v>
      </c>
      <c r="M45" s="912">
        <f>Ref_table!M523</f>
        <v>90684.40098041731</v>
      </c>
      <c r="N45" s="93"/>
    </row>
    <row r="46" spans="1:14" ht="15">
      <c r="A46" s="142" t="str">
        <f>Ref_table!A524</f>
        <v>n722</v>
      </c>
      <c r="B46" s="60" t="str">
        <f>Ref_table!B524</f>
        <v>Ecosystem capital depreciation embedded in "consumed imports", fisheries, in EPUE</v>
      </c>
      <c r="C46" s="909">
        <f>Ref_table!C524</f>
        <v>1848.0000000000002</v>
      </c>
      <c r="D46" s="909">
        <f>Ref_table!D524</f>
        <v>1884.9600000000003</v>
      </c>
      <c r="E46" s="909">
        <f>Ref_table!E524</f>
        <v>1922.6592000000003</v>
      </c>
      <c r="F46" s="909">
        <f>Ref_table!F524</f>
        <v>1961.1123840000002</v>
      </c>
      <c r="G46" s="909">
        <f>Ref_table!G524</f>
        <v>2000.3346316800003</v>
      </c>
      <c r="H46" s="909">
        <f>Ref_table!H524</f>
        <v>2040.3413243136004</v>
      </c>
      <c r="I46" s="909">
        <f>Ref_table!I524</f>
        <v>2081.1481507998724</v>
      </c>
      <c r="J46" s="909">
        <f>Ref_table!J524</f>
        <v>2122.7711138158697</v>
      </c>
      <c r="K46" s="909">
        <f>Ref_table!K524</f>
        <v>2165.226536092187</v>
      </c>
      <c r="L46" s="909">
        <f>Ref_table!L524</f>
        <v>2208.531066814031</v>
      </c>
      <c r="M46" s="912">
        <f>Ref_table!M524</f>
        <v>2252.701688150312</v>
      </c>
      <c r="N46" s="93"/>
    </row>
    <row r="47" spans="1:14" ht="15">
      <c r="A47" s="142" t="str">
        <f>Ref_table!A525</f>
        <v>n723</v>
      </c>
      <c r="B47" s="60" t="str">
        <f>Ref_table!B525</f>
        <v>Ecosystem capital depreciation embedded in "consumed imports", atmosphere CO^2-e potential, in EPUE</v>
      </c>
      <c r="C47" s="909">
        <f>Ref_table!C525</f>
        <v>29678.066499656292</v>
      </c>
      <c r="D47" s="909">
        <f>Ref_table!D525</f>
        <v>31161.96982463911</v>
      </c>
      <c r="E47" s="909">
        <f>Ref_table!E525</f>
        <v>32720.068315871067</v>
      </c>
      <c r="F47" s="909">
        <f>Ref_table!F525</f>
        <v>34356.07173166462</v>
      </c>
      <c r="G47" s="909">
        <f>Ref_table!G525</f>
        <v>36073.875318247854</v>
      </c>
      <c r="H47" s="909">
        <f>Ref_table!H525</f>
        <v>37877.56908416025</v>
      </c>
      <c r="I47" s="909">
        <f>Ref_table!I525</f>
        <v>39771.447538368266</v>
      </c>
      <c r="J47" s="909">
        <f>Ref_table!J525</f>
        <v>41760.01991528668</v>
      </c>
      <c r="K47" s="909">
        <f>Ref_table!K525</f>
        <v>43848.02091105101</v>
      </c>
      <c r="L47" s="909">
        <f>Ref_table!L525</f>
        <v>46040.42195660356</v>
      </c>
      <c r="M47" s="912">
        <f>Ref_table!M525</f>
        <v>48342.44305443374</v>
      </c>
      <c r="N47" s="93"/>
    </row>
    <row r="48" spans="1:14" ht="15.75">
      <c r="A48" s="615" t="str">
        <f>Ref_table!A526</f>
        <v>H8</v>
      </c>
      <c r="B48" s="600" t="str">
        <f>Ref_table!B526</f>
        <v>Reduction of Financial liabilities</v>
      </c>
      <c r="C48" s="692">
        <f>Ref_table!C526</f>
        <v>135022.19007792187</v>
      </c>
      <c r="D48" s="692">
        <f>Ref_table!D526</f>
        <v>673177.3249480766</v>
      </c>
      <c r="E48" s="692">
        <f>Ref_table!E526</f>
        <v>478171.9016666474</v>
      </c>
      <c r="F48" s="692">
        <f>Ref_table!F526</f>
        <v>275125.2134656614</v>
      </c>
      <c r="G48" s="692">
        <f>Ref_table!G526</f>
        <v>70778.75172787312</v>
      </c>
      <c r="H48" s="692">
        <f>Ref_table!H526</f>
        <v>790844.439284845</v>
      </c>
      <c r="I48" s="692">
        <f>Ref_table!I526</f>
        <v>2419900.8211710257</v>
      </c>
      <c r="J48" s="692">
        <f>Ref_table!J526</f>
        <v>97613.42691702089</v>
      </c>
      <c r="K48" s="692">
        <f>Ref_table!K526</f>
        <v>2516404.248088046</v>
      </c>
      <c r="L48" s="692">
        <f>Ref_table!L526</f>
        <v>130439.73520459984</v>
      </c>
      <c r="M48" s="693">
        <f>Ref_table!M526</f>
        <v>26354.347040919965</v>
      </c>
      <c r="N48" s="93"/>
    </row>
    <row r="49" spans="1:14" ht="15">
      <c r="A49" s="490" t="str">
        <f>Ref_table!A527</f>
        <v>h81=n21</v>
      </c>
      <c r="B49" s="875" t="str">
        <f>Ref_table!B527</f>
        <v>(-) Reduction of financial liabilities by ecosystem restoration programmes, in 10^6 € (N21= f71 in EPUE*Unit price)</v>
      </c>
      <c r="C49" s="487">
        <f>Ref_table!C527</f>
        <v>40173.65702337656</v>
      </c>
      <c r="D49" s="487">
        <f>Ref_table!D527</f>
        <v>201853.29748442303</v>
      </c>
      <c r="E49" s="487">
        <f>Ref_table!E527</f>
        <v>143351.67049999422</v>
      </c>
      <c r="F49" s="487">
        <f>Ref_table!F527</f>
        <v>82437.66403969843</v>
      </c>
      <c r="G49" s="487">
        <f>Ref_table!G527</f>
        <v>20900.62551836194</v>
      </c>
      <c r="H49" s="487">
        <f>Ref_table!H527</f>
        <v>237153.43178545352</v>
      </c>
      <c r="I49" s="487">
        <f>Ref_table!I527</f>
        <v>725870.3463513077</v>
      </c>
      <c r="J49" s="487">
        <f>Ref_table!J527</f>
        <v>28951.028075106267</v>
      </c>
      <c r="K49" s="487">
        <f>Ref_table!K527</f>
        <v>754821.3744264139</v>
      </c>
      <c r="L49" s="487">
        <f>Ref_table!L527</f>
        <v>39032.02056137995</v>
      </c>
      <c r="M49" s="491">
        <f>Ref_table!M527</f>
        <v>7806.40411227599</v>
      </c>
      <c r="N49" s="93"/>
    </row>
    <row r="50" spans="1:14" ht="15">
      <c r="A50" s="142" t="str">
        <f>Ref_table!A528</f>
        <v>h811</v>
      </c>
      <c r="B50" s="60" t="str">
        <f>Ref_table!B528</f>
        <v>Effect of Ecosystem restoration programmes, in 10^6 € - Inland ecosystems</v>
      </c>
      <c r="C50" s="38">
        <f>Ref_table!C528</f>
        <v>13900.694936691716</v>
      </c>
      <c r="D50" s="38">
        <f>Ref_table!D528</f>
        <v>122040.5981641421</v>
      </c>
      <c r="E50" s="38">
        <f>Ref_table!E528</f>
        <v>86670.48709966385</v>
      </c>
      <c r="F50" s="38">
        <f>Ref_table!F528</f>
        <v>49841.85027463209</v>
      </c>
      <c r="G50" s="38">
        <f>Ref_table!G528</f>
        <v>12636.527973799697</v>
      </c>
      <c r="H50" s="38">
        <f>Ref_table!H528</f>
        <v>143383.0758896039</v>
      </c>
      <c r="I50" s="38">
        <f>Ref_table!I528</f>
        <v>438861.55124695314</v>
      </c>
      <c r="J50" s="38">
        <f>Ref_table!J528</f>
        <v>17503.80512869995</v>
      </c>
      <c r="K50" s="38">
        <f>Ref_table!K528</f>
        <v>456365.356375653</v>
      </c>
      <c r="L50" s="38">
        <f>Ref_table!L528</f>
        <v>23598.77790568916</v>
      </c>
      <c r="M50" s="873">
        <f>Ref_table!M528</f>
        <v>4719.7555811378315</v>
      </c>
      <c r="N50" s="93"/>
    </row>
    <row r="51" spans="1:14" ht="15">
      <c r="A51" s="142" t="str">
        <f>Ref_table!A529</f>
        <v>h812</v>
      </c>
      <c r="B51" s="60" t="str">
        <f>Ref_table!B529</f>
        <v>Effect of Ecosystem restoration programmes, in 10^6 € - Fisheries</v>
      </c>
      <c r="C51" s="38">
        <f>Ref_table!C529</f>
        <v>392.98890438861446</v>
      </c>
      <c r="D51" s="38">
        <f>Ref_table!D529</f>
        <v>1193.832090903491</v>
      </c>
      <c r="E51" s="38">
        <f>Ref_table!E529</f>
        <v>847.8326916642174</v>
      </c>
      <c r="F51" s="38">
        <f>Ref_table!F529</f>
        <v>487.565623431579</v>
      </c>
      <c r="G51" s="38">
        <f>Ref_table!G529</f>
        <v>123.61372231584384</v>
      </c>
      <c r="H51" s="38">
        <f>Ref_table!H529</f>
        <v>1402.6096222441688</v>
      </c>
      <c r="I51" s="38">
        <f>Ref_table!I529</f>
        <v>4293.055026144894</v>
      </c>
      <c r="J51" s="38">
        <f>Ref_table!J529</f>
        <v>171.22666219201585</v>
      </c>
      <c r="K51" s="38">
        <f>Ref_table!K529</f>
        <v>4464.28168833691</v>
      </c>
      <c r="L51" s="38">
        <f>Ref_table!L529</f>
        <v>230.84923208934057</v>
      </c>
      <c r="M51" s="873">
        <f>Ref_table!M529</f>
        <v>46.169846417868115</v>
      </c>
      <c r="N51" s="93"/>
    </row>
    <row r="52" spans="1:14" ht="15">
      <c r="A52" s="142" t="str">
        <f>Ref_table!A530</f>
        <v>h813</v>
      </c>
      <c r="B52" s="60" t="str">
        <f>Ref_table!B530</f>
        <v>Effect of Ecosystem restoration programmes, in 10^6 € - Atmosphere/climate</v>
      </c>
      <c r="C52" s="38">
        <f>Ref_table!C530</f>
        <v>25879.97318229623</v>
      </c>
      <c r="D52" s="38">
        <f>Ref_table!D530</f>
        <v>78618.86722937744</v>
      </c>
      <c r="E52" s="38">
        <f>Ref_table!E530</f>
        <v>55833.35070866614</v>
      </c>
      <c r="F52" s="38">
        <f>Ref_table!F530</f>
        <v>32108.24814163476</v>
      </c>
      <c r="G52" s="38">
        <f>Ref_table!G530</f>
        <v>8140.483822246399</v>
      </c>
      <c r="H52" s="38">
        <f>Ref_table!H530</f>
        <v>92367.74627360547</v>
      </c>
      <c r="I52" s="38">
        <f>Ref_table!I530</f>
        <v>282715.7400782096</v>
      </c>
      <c r="J52" s="38">
        <f>Ref_table!J530</f>
        <v>11275.996284214301</v>
      </c>
      <c r="K52" s="38">
        <f>Ref_table!K530</f>
        <v>293991.7363624239</v>
      </c>
      <c r="L52" s="38">
        <f>Ref_table!L530</f>
        <v>15202.393423601452</v>
      </c>
      <c r="M52" s="873">
        <f>Ref_table!M530</f>
        <v>3040.478684720291</v>
      </c>
      <c r="N52" s="93"/>
    </row>
    <row r="53" spans="1:14" ht="15">
      <c r="A53" s="490" t="str">
        <f>Ref_table!A531</f>
        <v>h82=n31</v>
      </c>
      <c r="B53" s="875" t="str">
        <f>Ref_table!B531</f>
        <v>(-) Ecosystem spontaneous natural improvement, in 10^6 € (n31= f72 in EPUE*Unit price)</v>
      </c>
      <c r="C53" s="487">
        <f>Ref_table!C531</f>
        <v>93738.5330545453</v>
      </c>
      <c r="D53" s="487">
        <f>Ref_table!D531</f>
        <v>470991.02746365365</v>
      </c>
      <c r="E53" s="487">
        <f>Ref_table!E531</f>
        <v>334487.23116665316</v>
      </c>
      <c r="F53" s="487">
        <f>Ref_table!F531</f>
        <v>192354.549425963</v>
      </c>
      <c r="G53" s="487">
        <f>Ref_table!G531</f>
        <v>48768.12620951119</v>
      </c>
      <c r="H53" s="487">
        <f>Ref_table!H531</f>
        <v>553358.0074993914</v>
      </c>
      <c r="I53" s="487">
        <f>Ref_table!I531</f>
        <v>1693697.474819718</v>
      </c>
      <c r="J53" s="487">
        <f>Ref_table!J531</f>
        <v>67552.39884191462</v>
      </c>
      <c r="K53" s="487">
        <f>Ref_table!K531</f>
        <v>1761249.8736616322</v>
      </c>
      <c r="L53" s="487">
        <f>Ref_table!L531</f>
        <v>91074.7146432199</v>
      </c>
      <c r="M53" s="491">
        <f>Ref_table!M531</f>
        <v>18214.942928643977</v>
      </c>
      <c r="N53" s="93"/>
    </row>
    <row r="54" spans="1:14" ht="15">
      <c r="A54" s="490" t="str">
        <f>Ref_table!A532</f>
        <v>h83</v>
      </c>
      <c r="B54" s="882" t="str">
        <f>Ref_table!B532</f>
        <v>(-) Reduction of Financial liabilities by acquisition of EPUE (mitigation/ compensation)</v>
      </c>
      <c r="C54" s="882">
        <f>Ref_table!C532</f>
        <v>333</v>
      </c>
      <c r="D54" s="882">
        <f>Ref_table!D532</f>
        <v>333</v>
      </c>
      <c r="E54" s="882">
        <f>Ref_table!E532</f>
        <v>333</v>
      </c>
      <c r="F54" s="882">
        <f>Ref_table!F532</f>
        <v>333</v>
      </c>
      <c r="G54" s="882">
        <f>Ref_table!G532</f>
        <v>333</v>
      </c>
      <c r="H54" s="882">
        <f>Ref_table!H532</f>
        <v>333</v>
      </c>
      <c r="I54" s="882">
        <f>Ref_table!I532</f>
        <v>333</v>
      </c>
      <c r="J54" s="882">
        <f>Ref_table!J532</f>
        <v>333</v>
      </c>
      <c r="K54" s="882">
        <f>Ref_table!K532</f>
        <v>333</v>
      </c>
      <c r="L54" s="882">
        <f>Ref_table!L532</f>
        <v>333</v>
      </c>
      <c r="M54" s="946">
        <f>Ref_table!M532</f>
        <v>333</v>
      </c>
      <c r="N54" s="93"/>
    </row>
    <row r="55" spans="1:14" ht="15">
      <c r="A55" s="490" t="str">
        <f>Ref_table!A533</f>
        <v>h84</v>
      </c>
      <c r="B55" s="882" t="str">
        <f>Ref_table!B533</f>
        <v>(-) Reduction of Financial liabilities by swaps and debts consolidation</v>
      </c>
      <c r="C55" s="882">
        <f>Ref_table!C533</f>
        <v>777</v>
      </c>
      <c r="D55" s="882">
        <f>Ref_table!D533</f>
        <v>0</v>
      </c>
      <c r="E55" s="882">
        <f>Ref_table!E533</f>
        <v>0</v>
      </c>
      <c r="F55" s="882">
        <f>Ref_table!F533</f>
        <v>0</v>
      </c>
      <c r="G55" s="882">
        <f>Ref_table!G533</f>
        <v>777</v>
      </c>
      <c r="H55" s="882">
        <f>Ref_table!H533</f>
        <v>0</v>
      </c>
      <c r="I55" s="882">
        <f>Ref_table!I533</f>
        <v>0</v>
      </c>
      <c r="J55" s="882">
        <f>Ref_table!J533</f>
        <v>777</v>
      </c>
      <c r="K55" s="882">
        <f>Ref_table!K533</f>
        <v>0</v>
      </c>
      <c r="L55" s="882">
        <f>Ref_table!L533</f>
        <v>0</v>
      </c>
      <c r="M55" s="946">
        <f>Ref_table!M533</f>
        <v>0</v>
      </c>
      <c r="N55" s="93"/>
    </row>
    <row r="56" spans="1:14" ht="15.75">
      <c r="A56" s="615" t="str">
        <f>Ref_table!A534</f>
        <v>H9</v>
      </c>
      <c r="B56" s="600" t="str">
        <f>Ref_table!B534</f>
        <v>Net change in Financial liabilities (=h64+H7-H8)</v>
      </c>
      <c r="C56" s="692">
        <f>Ref_table!C534</f>
        <v>100855.21452695879</v>
      </c>
      <c r="D56" s="692">
        <f>Ref_table!D534</f>
        <v>-11944447.894906607</v>
      </c>
      <c r="E56" s="692">
        <f>Ref_table!E534</f>
        <v>-10120423.8772491</v>
      </c>
      <c r="F56" s="692">
        <f>Ref_table!F534</f>
        <v>-12934584.028235143</v>
      </c>
      <c r="G56" s="692">
        <f>Ref_table!G534</f>
        <v>-13633032.63848367</v>
      </c>
      <c r="H56" s="692">
        <f>Ref_table!H534</f>
        <v>-16491416.064023543</v>
      </c>
      <c r="I56" s="692">
        <f>Ref_table!I534</f>
        <v>-13587527.250491738</v>
      </c>
      <c r="J56" s="692">
        <f>Ref_table!J534</f>
        <v>840852269.903533</v>
      </c>
      <c r="K56" s="692">
        <f>Ref_table!K534</f>
        <v>-6947076.377631724</v>
      </c>
      <c r="L56" s="692">
        <f>Ref_table!L534</f>
        <v>-4490451.071401486</v>
      </c>
      <c r="M56" s="693">
        <f>Ref_table!M534</f>
        <v>-4316429.508240687</v>
      </c>
      <c r="N56" s="93"/>
    </row>
    <row r="57" spans="1:14" ht="15.75" customHeight="1" thickBot="1">
      <c r="A57" s="700" t="str">
        <f>Ref_table!A535</f>
        <v>H10</v>
      </c>
      <c r="B57" s="969" t="str">
        <f>Ref_table!B535</f>
        <v>Closing Balance Sheet</v>
      </c>
      <c r="C57" s="970">
        <f>Ref_table!C535</f>
        <v>335320855.21452695</v>
      </c>
      <c r="D57" s="970">
        <f>Ref_table!D535</f>
        <v>323376407.3196204</v>
      </c>
      <c r="E57" s="970">
        <f>Ref_table!E535</f>
        <v>313255983.44237125</v>
      </c>
      <c r="F57" s="970">
        <f>Ref_table!F535</f>
        <v>300321399.4141361</v>
      </c>
      <c r="G57" s="970">
        <f>Ref_table!G535</f>
        <v>286688366.77565247</v>
      </c>
      <c r="H57" s="970">
        <f>Ref_table!H535</f>
        <v>270196950.7116289</v>
      </c>
      <c r="I57" s="970">
        <f>Ref_table!I535</f>
        <v>256609423.46113718</v>
      </c>
      <c r="J57" s="970">
        <f>Ref_table!J535</f>
        <v>1097461693.3646703</v>
      </c>
      <c r="K57" s="970">
        <f>Ref_table!K535</f>
        <v>1090514616.9870386</v>
      </c>
      <c r="L57" s="970">
        <f>Ref_table!L535</f>
        <v>1086024165.915637</v>
      </c>
      <c r="M57" s="971">
        <f>Ref_table!M535</f>
        <v>1081707736.4073963</v>
      </c>
      <c r="N57" s="93"/>
    </row>
    <row r="58" ht="15">
      <c r="A58" s="93"/>
    </row>
    <row r="59" ht="15">
      <c r="A59" s="93"/>
    </row>
    <row r="60" ht="15">
      <c r="A60" s="93"/>
    </row>
    <row r="61" ht="15">
      <c r="A61" s="93"/>
    </row>
    <row r="62" ht="15">
      <c r="A62" s="93"/>
    </row>
    <row r="63" ht="15">
      <c r="A63" s="93"/>
    </row>
    <row r="64" ht="15">
      <c r="A64" s="93"/>
    </row>
  </sheetData>
  <sheetProtection/>
  <mergeCells count="3">
    <mergeCell ref="A3:B3"/>
    <mergeCell ref="A4:M4"/>
    <mergeCell ref="A31:M3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AI45"/>
  <sheetViews>
    <sheetView showGridLines="0" zoomScale="60" zoomScaleNormal="60" zoomScalePageLayoutView="0" workbookViewId="0" topLeftCell="A1">
      <selection activeCell="N38" sqref="N38"/>
    </sheetView>
  </sheetViews>
  <sheetFormatPr defaultColWidth="9.140625" defaultRowHeight="15"/>
  <cols>
    <col min="1" max="5" width="1.421875" style="1135" customWidth="1"/>
  </cols>
  <sheetData>
    <row r="1" spans="6:35" ht="15">
      <c r="F1" s="93" t="s">
        <v>915</v>
      </c>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row>
    <row r="2" spans="6:35" ht="15">
      <c r="F2" s="93" t="s">
        <v>916</v>
      </c>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row>
    <row r="3" spans="6:35" ht="15">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row>
    <row r="4" spans="3:35" ht="15">
      <c r="C4" s="1136" t="s">
        <v>917</v>
      </c>
      <c r="D4" s="1136" t="s">
        <v>918</v>
      </c>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row>
    <row r="5" spans="2:35" ht="15">
      <c r="B5" s="1137">
        <v>82</v>
      </c>
      <c r="C5" s="1137">
        <f>(B5+(B6/2)+(B7/2))/2</f>
        <v>74.5</v>
      </c>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row>
    <row r="6" spans="2:35" ht="15">
      <c r="B6" s="1137">
        <v>70</v>
      </c>
      <c r="C6" s="1137">
        <f>100-C5</f>
        <v>25.5</v>
      </c>
      <c r="D6" s="1135">
        <v>50</v>
      </c>
      <c r="E6" s="1137">
        <f>C6*D6</f>
        <v>1275</v>
      </c>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row>
    <row r="7" spans="2:35" ht="15">
      <c r="B7" s="1137">
        <v>64</v>
      </c>
      <c r="C7" s="1135">
        <v>100</v>
      </c>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row>
    <row r="8" spans="4:35" ht="112.5">
      <c r="D8" s="1135">
        <v>20</v>
      </c>
      <c r="F8" s="93"/>
      <c r="G8" s="93"/>
      <c r="H8" s="93"/>
      <c r="I8" s="93"/>
      <c r="J8" s="93"/>
      <c r="K8" s="93"/>
      <c r="L8" s="93"/>
      <c r="M8" s="93"/>
      <c r="N8" s="93"/>
      <c r="O8" s="93"/>
      <c r="P8" s="93"/>
      <c r="Q8" s="93"/>
      <c r="R8" s="93"/>
      <c r="S8" s="93"/>
      <c r="T8" s="93"/>
      <c r="U8" s="93"/>
      <c r="V8" s="93"/>
      <c r="W8" s="1138" t="s">
        <v>919</v>
      </c>
      <c r="X8" s="1138" t="s">
        <v>920</v>
      </c>
      <c r="Y8" s="1138" t="s">
        <v>921</v>
      </c>
      <c r="Z8" s="1138" t="s">
        <v>922</v>
      </c>
      <c r="AA8" s="1138" t="s">
        <v>923</v>
      </c>
      <c r="AB8" s="1139" t="s">
        <v>472</v>
      </c>
      <c r="AC8" s="93"/>
      <c r="AD8" s="93"/>
      <c r="AE8" s="93"/>
      <c r="AF8" s="93"/>
      <c r="AG8" s="93"/>
      <c r="AH8" s="93"/>
      <c r="AI8" s="93"/>
    </row>
    <row r="9" spans="3:35" ht="15">
      <c r="C9" s="1137"/>
      <c r="D9" s="1135">
        <v>104</v>
      </c>
      <c r="F9" s="93"/>
      <c r="G9" s="93"/>
      <c r="H9" s="93"/>
      <c r="I9" s="93"/>
      <c r="J9" s="93"/>
      <c r="K9" s="93"/>
      <c r="L9" s="93"/>
      <c r="M9" s="93"/>
      <c r="N9" s="93"/>
      <c r="O9" s="93"/>
      <c r="P9" s="93"/>
      <c r="Q9" s="93"/>
      <c r="R9" s="93"/>
      <c r="S9" s="93"/>
      <c r="T9" s="93"/>
      <c r="U9" s="93"/>
      <c r="V9" s="93"/>
      <c r="W9" s="1138"/>
      <c r="X9" s="1138"/>
      <c r="Y9" s="1138"/>
      <c r="Z9" s="1138"/>
      <c r="AA9" s="1138"/>
      <c r="AB9" s="1139"/>
      <c r="AC9" s="93"/>
      <c r="AD9" s="93"/>
      <c r="AE9" s="93"/>
      <c r="AF9" s="93"/>
      <c r="AG9" s="93"/>
      <c r="AH9" s="93"/>
      <c r="AI9" s="93"/>
    </row>
    <row r="10" spans="3:35" ht="15">
      <c r="C10" s="1137"/>
      <c r="D10" s="1135">
        <v>10</v>
      </c>
      <c r="F10" s="93"/>
      <c r="G10" s="93"/>
      <c r="H10" s="93"/>
      <c r="I10" s="93"/>
      <c r="J10" s="93"/>
      <c r="K10" s="93"/>
      <c r="L10" s="93"/>
      <c r="M10" s="93"/>
      <c r="N10" s="93"/>
      <c r="O10" s="93"/>
      <c r="P10" s="93"/>
      <c r="Q10" s="93"/>
      <c r="R10" s="93"/>
      <c r="S10" s="93"/>
      <c r="T10" s="93"/>
      <c r="U10" s="93"/>
      <c r="V10" s="93"/>
      <c r="W10" s="1138"/>
      <c r="X10" s="1138"/>
      <c r="Y10" s="1138"/>
      <c r="Z10" s="1138"/>
      <c r="AA10" s="1138"/>
      <c r="AB10" s="1139"/>
      <c r="AC10" s="93"/>
      <c r="AD10" s="93"/>
      <c r="AE10" s="93"/>
      <c r="AF10" s="93"/>
      <c r="AG10" s="93"/>
      <c r="AH10" s="93"/>
      <c r="AI10" s="93"/>
    </row>
    <row r="11" spans="4:35" ht="15">
      <c r="D11" s="1135">
        <v>85</v>
      </c>
      <c r="F11" s="93"/>
      <c r="G11" s="93"/>
      <c r="H11" s="93"/>
      <c r="I11" s="93"/>
      <c r="J11" s="93"/>
      <c r="K11" s="93"/>
      <c r="L11" s="93"/>
      <c r="M11" s="93"/>
      <c r="N11" s="93"/>
      <c r="O11" s="93"/>
      <c r="P11" s="93"/>
      <c r="Q11" s="93"/>
      <c r="R11" s="93"/>
      <c r="S11" s="93"/>
      <c r="T11" s="93"/>
      <c r="U11" s="93"/>
      <c r="V11" s="93"/>
      <c r="W11" s="1138"/>
      <c r="X11" s="1138"/>
      <c r="Y11" s="1138"/>
      <c r="Z11" s="1138"/>
      <c r="AA11" s="1138"/>
      <c r="AB11" s="1139"/>
      <c r="AC11" s="93"/>
      <c r="AD11" s="93"/>
      <c r="AE11" s="93"/>
      <c r="AF11" s="93"/>
      <c r="AG11" s="93"/>
      <c r="AH11" s="93"/>
      <c r="AI11" s="93"/>
    </row>
    <row r="12" spans="4:35" ht="15">
      <c r="D12" s="1135">
        <v>113</v>
      </c>
      <c r="F12" s="93"/>
      <c r="G12" s="93"/>
      <c r="H12" s="93"/>
      <c r="I12" s="93"/>
      <c r="J12" s="93"/>
      <c r="K12" s="93"/>
      <c r="L12" s="93"/>
      <c r="M12" s="93"/>
      <c r="N12" s="93"/>
      <c r="O12" s="93"/>
      <c r="P12" s="93"/>
      <c r="Q12" s="93"/>
      <c r="R12" s="93"/>
      <c r="S12" s="93"/>
      <c r="T12" s="93"/>
      <c r="U12" s="93"/>
      <c r="V12" s="93"/>
      <c r="W12" s="1138"/>
      <c r="X12" s="1138"/>
      <c r="Y12" s="1138"/>
      <c r="Z12" s="1138"/>
      <c r="AA12" s="1138"/>
      <c r="AB12" s="1139"/>
      <c r="AC12" s="93"/>
      <c r="AD12" s="93"/>
      <c r="AE12" s="93"/>
      <c r="AF12" s="93"/>
      <c r="AG12" s="93"/>
      <c r="AH12" s="93"/>
      <c r="AI12" s="93"/>
    </row>
    <row r="13" spans="4:35" ht="15">
      <c r="D13" s="1135">
        <v>120</v>
      </c>
      <c r="F13" s="93"/>
      <c r="G13" s="93"/>
      <c r="H13" s="93"/>
      <c r="I13" s="93"/>
      <c r="J13" s="93"/>
      <c r="K13" s="93"/>
      <c r="L13" s="93"/>
      <c r="M13" s="93"/>
      <c r="N13" s="93"/>
      <c r="O13" s="93"/>
      <c r="P13" s="93"/>
      <c r="Q13" s="93"/>
      <c r="R13" s="93"/>
      <c r="S13" s="93"/>
      <c r="T13" s="93"/>
      <c r="U13" s="93"/>
      <c r="V13" s="93"/>
      <c r="W13" s="1138"/>
      <c r="X13" s="1138"/>
      <c r="Y13" s="1138"/>
      <c r="Z13" s="1138"/>
      <c r="AA13" s="1138"/>
      <c r="AB13" s="1139"/>
      <c r="AC13" s="93"/>
      <c r="AD13" s="93"/>
      <c r="AE13" s="93"/>
      <c r="AF13" s="93"/>
      <c r="AG13" s="93"/>
      <c r="AH13" s="93"/>
      <c r="AI13" s="93"/>
    </row>
    <row r="14" spans="6:35" ht="15">
      <c r="F14" s="93"/>
      <c r="G14" s="93"/>
      <c r="H14" s="93"/>
      <c r="I14" s="93"/>
      <c r="J14" s="93"/>
      <c r="K14" s="93"/>
      <c r="L14" s="93"/>
      <c r="M14" s="93"/>
      <c r="N14" s="93"/>
      <c r="O14" s="93"/>
      <c r="P14" s="93"/>
      <c r="Q14" s="93"/>
      <c r="R14" s="93"/>
      <c r="S14" s="93"/>
      <c r="T14" s="93"/>
      <c r="U14" s="93"/>
      <c r="V14" s="93"/>
      <c r="W14" s="1138"/>
      <c r="X14" s="1138"/>
      <c r="Y14" s="1138"/>
      <c r="Z14" s="1138"/>
      <c r="AA14" s="1138"/>
      <c r="AB14" s="1139"/>
      <c r="AC14" s="93"/>
      <c r="AD14" s="93"/>
      <c r="AE14" s="93"/>
      <c r="AF14" s="93"/>
      <c r="AG14" s="93"/>
      <c r="AH14" s="93"/>
      <c r="AI14" s="93"/>
    </row>
    <row r="15" spans="6:35" ht="15">
      <c r="F15" s="93"/>
      <c r="G15" s="93"/>
      <c r="H15" s="93"/>
      <c r="I15" s="93"/>
      <c r="J15" s="93"/>
      <c r="K15" s="93"/>
      <c r="L15" s="93"/>
      <c r="M15" s="93"/>
      <c r="N15" s="93"/>
      <c r="O15" s="93"/>
      <c r="P15" s="93"/>
      <c r="Q15" s="93"/>
      <c r="R15" s="93"/>
      <c r="S15" s="93"/>
      <c r="T15" s="93"/>
      <c r="U15" s="93"/>
      <c r="V15" s="93"/>
      <c r="W15" s="1138"/>
      <c r="X15" s="1138"/>
      <c r="Y15" s="1138"/>
      <c r="Z15" s="1138"/>
      <c r="AA15" s="1138"/>
      <c r="AB15" s="1139"/>
      <c r="AC15" s="93"/>
      <c r="AD15" s="93"/>
      <c r="AE15" s="93"/>
      <c r="AF15" s="93"/>
      <c r="AG15" s="93"/>
      <c r="AH15" s="93"/>
      <c r="AI15" s="93"/>
    </row>
    <row r="16" spans="6:35" ht="15">
      <c r="F16" s="93"/>
      <c r="G16" s="93"/>
      <c r="H16" s="93"/>
      <c r="I16" s="93"/>
      <c r="J16" s="93"/>
      <c r="K16" s="93"/>
      <c r="L16" s="93"/>
      <c r="M16" s="93"/>
      <c r="N16" s="93"/>
      <c r="O16" s="93"/>
      <c r="P16" s="93"/>
      <c r="Q16" s="93"/>
      <c r="R16" s="93"/>
      <c r="S16" s="93"/>
      <c r="T16" s="93"/>
      <c r="U16" s="93"/>
      <c r="V16" s="93"/>
      <c r="W16" s="1138"/>
      <c r="X16" s="1138"/>
      <c r="Y16" s="1138"/>
      <c r="Z16" s="1138"/>
      <c r="AA16" s="1138"/>
      <c r="AB16" s="1139"/>
      <c r="AC16" s="93"/>
      <c r="AD16" s="93"/>
      <c r="AE16" s="93"/>
      <c r="AF16" s="93"/>
      <c r="AG16" s="93"/>
      <c r="AH16" s="93"/>
      <c r="AI16" s="93"/>
    </row>
    <row r="17" spans="6:35" ht="15">
      <c r="F17" s="93"/>
      <c r="G17" s="93"/>
      <c r="H17" s="93"/>
      <c r="I17" s="93"/>
      <c r="J17" s="93"/>
      <c r="K17" s="93"/>
      <c r="L17" s="93"/>
      <c r="M17" s="93"/>
      <c r="N17" s="93"/>
      <c r="O17" s="93"/>
      <c r="P17" s="93"/>
      <c r="Q17" s="93"/>
      <c r="R17" s="93"/>
      <c r="S17" s="93"/>
      <c r="T17" s="93"/>
      <c r="U17" s="93"/>
      <c r="V17" s="93"/>
      <c r="W17" s="1138"/>
      <c r="X17" s="1138"/>
      <c r="Y17" s="1138"/>
      <c r="Z17" s="1138"/>
      <c r="AA17" s="1138"/>
      <c r="AB17" s="1139"/>
      <c r="AC17" s="93"/>
      <c r="AD17" s="93"/>
      <c r="AE17" s="93"/>
      <c r="AF17" s="93"/>
      <c r="AG17" s="93"/>
      <c r="AH17" s="93"/>
      <c r="AI17" s="93"/>
    </row>
    <row r="18" spans="6:35" ht="15">
      <c r="F18" s="93"/>
      <c r="G18" s="93"/>
      <c r="H18" s="93"/>
      <c r="I18" s="93"/>
      <c r="J18" s="93"/>
      <c r="K18" s="93"/>
      <c r="L18" s="93"/>
      <c r="M18" s="93"/>
      <c r="N18" s="93"/>
      <c r="O18" s="93"/>
      <c r="P18" s="93"/>
      <c r="Q18" s="93"/>
      <c r="R18" s="93"/>
      <c r="S18" s="93"/>
      <c r="T18" s="93"/>
      <c r="U18" s="93"/>
      <c r="V18" s="93"/>
      <c r="W18" s="1138"/>
      <c r="X18" s="1138"/>
      <c r="Y18" s="1138"/>
      <c r="Z18" s="1138"/>
      <c r="AA18" s="1138"/>
      <c r="AB18" s="1139"/>
      <c r="AC18" s="1140"/>
      <c r="AD18" s="93"/>
      <c r="AE18" s="93"/>
      <c r="AF18" s="93"/>
      <c r="AG18" s="93"/>
      <c r="AH18" s="93"/>
      <c r="AI18" s="93"/>
    </row>
    <row r="19" spans="6:35" ht="15">
      <c r="F19" s="93"/>
      <c r="G19" s="93"/>
      <c r="H19" s="93"/>
      <c r="I19" s="93"/>
      <c r="J19" s="93"/>
      <c r="K19" s="93"/>
      <c r="L19" s="93"/>
      <c r="M19" s="93"/>
      <c r="N19" s="93"/>
      <c r="O19" s="93"/>
      <c r="P19" s="93"/>
      <c r="Q19" s="93"/>
      <c r="R19" s="93"/>
      <c r="S19" s="93"/>
      <c r="T19" s="93"/>
      <c r="U19" s="93"/>
      <c r="V19" s="93"/>
      <c r="W19" s="93"/>
      <c r="X19" s="93"/>
      <c r="Y19" s="93"/>
      <c r="Z19" s="93"/>
      <c r="AA19" s="93"/>
      <c r="AB19" s="1139"/>
      <c r="AC19" s="93"/>
      <c r="AD19" s="93"/>
      <c r="AE19" s="93"/>
      <c r="AF19" s="93"/>
      <c r="AG19" s="93"/>
      <c r="AH19" s="93"/>
      <c r="AI19" s="93"/>
    </row>
    <row r="20" spans="6:35" ht="15">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row>
    <row r="21" spans="6:35" ht="15">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row>
    <row r="22" spans="6:35" ht="15">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row>
    <row r="23" spans="6:35" ht="15">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row>
    <row r="24" spans="6:35" ht="15">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row>
    <row r="25" spans="6:35" ht="15">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row>
    <row r="26" spans="6:35" ht="15">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row>
    <row r="27" spans="6:35" ht="15">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row>
    <row r="28" spans="6:35" ht="31.5">
      <c r="F28" s="93"/>
      <c r="G28" s="93"/>
      <c r="H28" s="93"/>
      <c r="I28" s="93"/>
      <c r="J28" s="93"/>
      <c r="K28" s="93"/>
      <c r="L28" s="93"/>
      <c r="M28" s="93"/>
      <c r="N28" s="93"/>
      <c r="O28" s="93"/>
      <c r="P28" s="93"/>
      <c r="Q28" s="93"/>
      <c r="R28" s="93"/>
      <c r="S28" s="93"/>
      <c r="T28" s="93"/>
      <c r="U28" s="93"/>
      <c r="V28" s="93"/>
      <c r="W28" s="1141">
        <f>($C$6/4.2)</f>
        <v>6.071428571428571</v>
      </c>
      <c r="X28" s="1141">
        <f>((((1.8*($C$6/5.5)-(B7/11))*2)+(B6/40)+(B5/40)+1)*0.35)+4.26362</f>
        <v>7.71271090909091</v>
      </c>
      <c r="Y28" s="1141">
        <f>($C$6/8.5)*0.7</f>
        <v>2.0999999999999996</v>
      </c>
      <c r="Z28" s="1141">
        <f>$C$6-SUM(W28:Y28)-AA28</f>
        <v>3.330146233766232</v>
      </c>
      <c r="AA28" s="1141">
        <f>($C$6/2.8)*0.8-1</f>
        <v>6.2857142857142865</v>
      </c>
      <c r="AB28" s="1142">
        <f>SUM(W28:AA29)</f>
        <v>25.5</v>
      </c>
      <c r="AC28" s="93"/>
      <c r="AD28" s="93"/>
      <c r="AE28" s="93"/>
      <c r="AF28" s="93"/>
      <c r="AG28" s="93"/>
      <c r="AH28" s="93"/>
      <c r="AI28" s="93"/>
    </row>
    <row r="29" spans="6:35" ht="31.5">
      <c r="F29" s="93"/>
      <c r="G29" s="93"/>
      <c r="H29" s="93"/>
      <c r="I29" s="93"/>
      <c r="J29" s="93"/>
      <c r="K29" s="93"/>
      <c r="L29" s="93"/>
      <c r="M29" s="93"/>
      <c r="N29" s="93"/>
      <c r="O29" s="93"/>
      <c r="P29" s="93"/>
      <c r="Q29" s="93"/>
      <c r="R29" s="93"/>
      <c r="S29" s="93"/>
      <c r="T29" s="93"/>
      <c r="U29" s="93"/>
      <c r="V29" s="93"/>
      <c r="W29" s="1141"/>
      <c r="X29" s="1141"/>
      <c r="Y29" s="1141"/>
      <c r="Z29" s="1141"/>
      <c r="AA29" s="1141"/>
      <c r="AB29" s="1142"/>
      <c r="AC29" s="93"/>
      <c r="AD29" s="93"/>
      <c r="AE29" s="93"/>
      <c r="AF29" s="93"/>
      <c r="AG29" s="93"/>
      <c r="AH29" s="93"/>
      <c r="AI29" s="93"/>
    </row>
    <row r="30" spans="6:35" ht="15">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row>
    <row r="31" spans="6:35" ht="15">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row>
    <row r="32" spans="6:35" ht="15" customHeight="1">
      <c r="F32" s="93"/>
      <c r="G32" s="93"/>
      <c r="H32" s="93"/>
      <c r="I32" s="93"/>
      <c r="J32" s="93"/>
      <c r="K32" s="93"/>
      <c r="L32" s="93"/>
      <c r="M32" s="93"/>
      <c r="N32" s="93"/>
      <c r="O32" s="93"/>
      <c r="P32" s="93"/>
      <c r="Q32" s="93"/>
      <c r="R32" s="1152" t="s">
        <v>926</v>
      </c>
      <c r="S32" s="1152"/>
      <c r="T32" s="1152"/>
      <c r="U32" s="1152"/>
      <c r="V32" s="1152"/>
      <c r="W32" s="1153"/>
      <c r="X32" s="1153"/>
      <c r="Y32" s="1153"/>
      <c r="Z32" s="1153"/>
      <c r="AA32" s="1153"/>
      <c r="AB32" s="93"/>
      <c r="AC32" s="93"/>
      <c r="AD32" s="93"/>
      <c r="AE32" s="93"/>
      <c r="AF32" s="93"/>
      <c r="AG32" s="93"/>
      <c r="AH32" s="93"/>
      <c r="AI32" s="93"/>
    </row>
    <row r="33" spans="6:35" ht="15" customHeight="1">
      <c r="F33" s="93"/>
      <c r="G33" s="93"/>
      <c r="H33" s="93"/>
      <c r="I33" s="93"/>
      <c r="J33" s="93"/>
      <c r="K33" s="93"/>
      <c r="L33" s="93"/>
      <c r="M33" s="93"/>
      <c r="N33" s="93"/>
      <c r="O33" s="93"/>
      <c r="P33" s="93"/>
      <c r="Q33" s="93"/>
      <c r="R33" s="1152"/>
      <c r="S33" s="1152"/>
      <c r="T33" s="1152"/>
      <c r="U33" s="1152"/>
      <c r="V33" s="1152"/>
      <c r="W33" s="1153"/>
      <c r="X33" s="1153"/>
      <c r="Y33" s="1153"/>
      <c r="Z33" s="1153"/>
      <c r="AA33" s="1153"/>
      <c r="AB33" s="93"/>
      <c r="AC33" s="93"/>
      <c r="AD33" s="93"/>
      <c r="AE33" s="93"/>
      <c r="AF33" s="93"/>
      <c r="AG33" s="93"/>
      <c r="AH33" s="93"/>
      <c r="AI33" s="93"/>
    </row>
    <row r="34" spans="6:35" ht="15" customHeight="1">
      <c r="F34" s="93"/>
      <c r="G34" s="93"/>
      <c r="H34" s="93"/>
      <c r="I34" s="93"/>
      <c r="J34" s="93"/>
      <c r="K34" s="93"/>
      <c r="L34" s="93"/>
      <c r="M34" s="93"/>
      <c r="N34" s="93"/>
      <c r="O34" s="93"/>
      <c r="P34" s="93"/>
      <c r="Q34" s="93"/>
      <c r="R34" s="1152"/>
      <c r="S34" s="1152"/>
      <c r="T34" s="1152"/>
      <c r="U34" s="1152"/>
      <c r="V34" s="1152"/>
      <c r="W34" s="1153"/>
      <c r="X34" s="1153"/>
      <c r="Y34" s="1153"/>
      <c r="Z34" s="1153"/>
      <c r="AA34" s="1153"/>
      <c r="AB34" s="93"/>
      <c r="AC34" s="93"/>
      <c r="AD34" s="93"/>
      <c r="AE34" s="93"/>
      <c r="AF34" s="93"/>
      <c r="AG34" s="93"/>
      <c r="AH34" s="93"/>
      <c r="AI34" s="93"/>
    </row>
    <row r="35" spans="6:35" ht="15" customHeight="1">
      <c r="F35" s="93"/>
      <c r="G35" s="93"/>
      <c r="H35" s="93"/>
      <c r="I35" s="93"/>
      <c r="J35" s="93"/>
      <c r="K35" s="93"/>
      <c r="L35" s="93"/>
      <c r="M35" s="93"/>
      <c r="N35" s="93"/>
      <c r="O35" s="93"/>
      <c r="P35" s="93"/>
      <c r="Q35" s="93"/>
      <c r="R35" s="1152"/>
      <c r="S35" s="1152"/>
      <c r="T35" s="1152"/>
      <c r="U35" s="1152"/>
      <c r="V35" s="1152"/>
      <c r="W35" s="1153"/>
      <c r="X35" s="1153"/>
      <c r="Y35" s="1153"/>
      <c r="Z35" s="1153"/>
      <c r="AA35" s="1153"/>
      <c r="AB35" s="93"/>
      <c r="AC35" s="93"/>
      <c r="AD35" s="93"/>
      <c r="AE35" s="93"/>
      <c r="AF35" s="93"/>
      <c r="AG35" s="93"/>
      <c r="AH35" s="93"/>
      <c r="AI35" s="93"/>
    </row>
    <row r="36" spans="6:35" ht="21">
      <c r="F36" s="93"/>
      <c r="G36" s="93"/>
      <c r="H36" s="93"/>
      <c r="I36" s="93"/>
      <c r="J36" s="93"/>
      <c r="K36" s="93"/>
      <c r="L36" s="93"/>
      <c r="M36" s="93"/>
      <c r="N36" s="93"/>
      <c r="O36" s="93"/>
      <c r="P36" s="93"/>
      <c r="Q36" s="93"/>
      <c r="R36" s="1147" t="s">
        <v>927</v>
      </c>
      <c r="S36" s="1148"/>
      <c r="T36" s="1148"/>
      <c r="U36" s="1148"/>
      <c r="V36" s="1149"/>
      <c r="W36" s="1150">
        <f>D8*1.9</f>
        <v>38</v>
      </c>
      <c r="X36" s="1151">
        <f>D9</f>
        <v>104</v>
      </c>
      <c r="Y36" s="1151">
        <f>D10</f>
        <v>10</v>
      </c>
      <c r="Z36" s="1151">
        <f>D12</f>
        <v>113</v>
      </c>
      <c r="AA36" s="1151">
        <f>D13</f>
        <v>120</v>
      </c>
      <c r="AB36" s="93"/>
      <c r="AC36" s="93"/>
      <c r="AD36" s="93"/>
      <c r="AE36" s="93"/>
      <c r="AF36" s="93"/>
      <c r="AG36" s="93"/>
      <c r="AH36" s="93"/>
      <c r="AI36" s="93"/>
    </row>
    <row r="37" spans="6:35" ht="21">
      <c r="F37" s="93"/>
      <c r="G37" s="93"/>
      <c r="H37" s="93"/>
      <c r="I37" s="93"/>
      <c r="J37" s="93"/>
      <c r="K37" s="93"/>
      <c r="L37" s="93"/>
      <c r="M37" s="93"/>
      <c r="N37" s="93"/>
      <c r="O37" s="93"/>
      <c r="P37" s="93"/>
      <c r="Q37" s="93"/>
      <c r="R37" s="1143" t="s">
        <v>924</v>
      </c>
      <c r="S37" s="1143"/>
      <c r="T37" s="1143"/>
      <c r="U37" s="1143"/>
      <c r="V37" s="1143"/>
      <c r="W37" s="1144">
        <f>W36*W28</f>
        <v>230.7142857142857</v>
      </c>
      <c r="X37" s="1144">
        <f>X36*X28</f>
        <v>802.1219345454546</v>
      </c>
      <c r="Y37" s="1144">
        <f>Y36*Y28</f>
        <v>20.999999999999996</v>
      </c>
      <c r="Z37" s="1144">
        <f>Z36*Z28</f>
        <v>376.30652441558425</v>
      </c>
      <c r="AA37" s="1144">
        <f>AA36*AA28</f>
        <v>754.2857142857143</v>
      </c>
      <c r="AB37" s="93"/>
      <c r="AC37" s="93"/>
      <c r="AD37" s="93"/>
      <c r="AE37" s="93"/>
      <c r="AF37" s="93"/>
      <c r="AG37" s="93"/>
      <c r="AH37" s="93"/>
      <c r="AI37" s="93"/>
    </row>
    <row r="38" spans="6:35" ht="23.25">
      <c r="F38" s="93"/>
      <c r="G38" s="93"/>
      <c r="H38" s="93"/>
      <c r="I38" s="93"/>
      <c r="J38" s="93"/>
      <c r="K38" s="93"/>
      <c r="L38" s="93"/>
      <c r="M38" s="93"/>
      <c r="N38" s="93"/>
      <c r="O38" s="93"/>
      <c r="P38" s="93"/>
      <c r="Q38" s="93"/>
      <c r="R38" s="1145" t="s">
        <v>925</v>
      </c>
      <c r="S38" s="1145"/>
      <c r="T38" s="1145"/>
      <c r="U38" s="1145"/>
      <c r="V38" s="1145"/>
      <c r="W38" s="1146">
        <f>SUM(W37:AA37)</f>
        <v>2184.428458961039</v>
      </c>
      <c r="X38" s="1146"/>
      <c r="Y38" s="1146"/>
      <c r="Z38" s="1146"/>
      <c r="AA38" s="1146"/>
      <c r="AB38" s="93"/>
      <c r="AC38" s="93"/>
      <c r="AD38" s="93"/>
      <c r="AE38" s="93"/>
      <c r="AF38" s="93"/>
      <c r="AG38" s="93"/>
      <c r="AH38" s="93"/>
      <c r="AI38" s="93"/>
    </row>
    <row r="39" spans="6:35" ht="15">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row>
    <row r="40" spans="6:35" ht="15">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row>
    <row r="41" spans="6:35" ht="15">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row>
    <row r="42" spans="6:35" ht="15">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row>
    <row r="43" spans="6:35" ht="15">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row>
    <row r="44" spans="6:35" ht="15">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row>
    <row r="45" spans="6:35" ht="15">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row>
  </sheetData>
  <sheetProtection/>
  <mergeCells count="22">
    <mergeCell ref="R37:V37"/>
    <mergeCell ref="R38:V38"/>
    <mergeCell ref="W38:AA38"/>
    <mergeCell ref="R32:V35"/>
    <mergeCell ref="R36:V36"/>
    <mergeCell ref="W32:W35"/>
    <mergeCell ref="X32:X35"/>
    <mergeCell ref="Y32:Y35"/>
    <mergeCell ref="Z32:Z35"/>
    <mergeCell ref="AA32:AA35"/>
    <mergeCell ref="W28:W29"/>
    <mergeCell ref="X28:X29"/>
    <mergeCell ref="Y28:Y29"/>
    <mergeCell ref="Z28:Z29"/>
    <mergeCell ref="AA28:AA29"/>
    <mergeCell ref="AB28:AB29"/>
    <mergeCell ref="W8:W18"/>
    <mergeCell ref="X8:X18"/>
    <mergeCell ref="Y8:Y18"/>
    <mergeCell ref="Z8:Z18"/>
    <mergeCell ref="AA8:AA18"/>
    <mergeCell ref="AB8:AB19"/>
  </mergeCells>
  <printOptions/>
  <pageMargins left="0.7" right="0.7" top="0.75" bottom="0.75" header="0.3" footer="0.3"/>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dimension ref="A1:E41"/>
  <sheetViews>
    <sheetView showGridLines="0" zoomScale="77" zoomScaleNormal="77" zoomScalePageLayoutView="0" workbookViewId="0" topLeftCell="A1">
      <selection activeCell="F15" sqref="F15"/>
    </sheetView>
  </sheetViews>
  <sheetFormatPr defaultColWidth="9.140625" defaultRowHeight="15"/>
  <cols>
    <col min="1" max="1" width="9.140625" style="93" customWidth="1"/>
    <col min="2" max="2" width="71.28125" style="0" customWidth="1"/>
    <col min="3" max="3" width="5.57421875" style="357" customWidth="1"/>
    <col min="4" max="4" width="71.28125" style="0" customWidth="1"/>
    <col min="5" max="5" width="3.00390625" style="0" customWidth="1"/>
    <col min="6" max="7" width="34.140625" style="0" customWidth="1"/>
  </cols>
  <sheetData>
    <row r="1" s="93" customFormat="1" ht="15.75">
      <c r="C1" s="357"/>
    </row>
    <row r="2" ht="18.75">
      <c r="B2" s="50" t="s">
        <v>510</v>
      </c>
    </row>
    <row r="3" ht="18.75">
      <c r="B3" s="50" t="s">
        <v>841</v>
      </c>
    </row>
    <row r="5" s="93" customFormat="1" ht="9" customHeight="1">
      <c r="C5" s="357"/>
    </row>
    <row r="6" spans="2:4" ht="32.25" customHeight="1">
      <c r="B6" s="1005" t="s">
        <v>838</v>
      </c>
      <c r="D6" s="1005" t="s">
        <v>839</v>
      </c>
    </row>
    <row r="7" spans="1:4" s="93" customFormat="1" ht="37.5">
      <c r="A7" s="1129" t="s">
        <v>834</v>
      </c>
      <c r="B7" s="1003" t="s">
        <v>840</v>
      </c>
      <c r="C7" s="998" t="s">
        <v>815</v>
      </c>
      <c r="D7" s="1003" t="s">
        <v>832</v>
      </c>
    </row>
    <row r="8" spans="1:4" s="93" customFormat="1" ht="9.75" customHeight="1">
      <c r="A8" s="1129"/>
      <c r="B8" s="1004"/>
      <c r="C8" s="998"/>
      <c r="D8" s="1004"/>
    </row>
    <row r="9" spans="1:4" ht="75">
      <c r="A9" s="1129"/>
      <c r="B9" s="1003" t="s">
        <v>830</v>
      </c>
      <c r="C9" s="998" t="s">
        <v>815</v>
      </c>
      <c r="D9" s="1003" t="s">
        <v>831</v>
      </c>
    </row>
    <row r="10" spans="2:4" s="93" customFormat="1" ht="15">
      <c r="B10" s="997"/>
      <c r="C10" s="998"/>
      <c r="D10" s="997"/>
    </row>
    <row r="11" spans="1:4" ht="34.5">
      <c r="A11" s="1129" t="s">
        <v>835</v>
      </c>
      <c r="B11" s="140" t="s">
        <v>818</v>
      </c>
      <c r="C11" s="998" t="s">
        <v>815</v>
      </c>
      <c r="D11" s="1001" t="s">
        <v>829</v>
      </c>
    </row>
    <row r="12" spans="1:4" s="93" customFormat="1" ht="15">
      <c r="A12" s="1129"/>
      <c r="B12" s="997"/>
      <c r="C12" s="998"/>
      <c r="D12" s="997"/>
    </row>
    <row r="13" spans="1:4" ht="50.25">
      <c r="A13" s="1129"/>
      <c r="B13" s="140" t="s">
        <v>819</v>
      </c>
      <c r="C13" s="998" t="s">
        <v>815</v>
      </c>
      <c r="D13" s="1001" t="s">
        <v>828</v>
      </c>
    </row>
    <row r="14" spans="1:4" s="93" customFormat="1" ht="15">
      <c r="A14" s="1129"/>
      <c r="B14" s="997"/>
      <c r="C14" s="998"/>
      <c r="D14" s="997"/>
    </row>
    <row r="15" spans="1:4" ht="50.25">
      <c r="A15" s="1129"/>
      <c r="B15" s="140" t="s">
        <v>820</v>
      </c>
      <c r="C15" s="998" t="s">
        <v>815</v>
      </c>
      <c r="D15" s="1001" t="s">
        <v>842</v>
      </c>
    </row>
    <row r="16" spans="1:4" s="93" customFormat="1" ht="15">
      <c r="A16" s="1129"/>
      <c r="B16" s="997"/>
      <c r="C16" s="998"/>
      <c r="D16" s="997"/>
    </row>
    <row r="17" spans="1:4" ht="66">
      <c r="A17" s="1129"/>
      <c r="B17" s="140" t="s">
        <v>821</v>
      </c>
      <c r="C17" s="1002"/>
      <c r="D17" s="999"/>
    </row>
    <row r="18" spans="1:4" s="93" customFormat="1" ht="15">
      <c r="A18" s="1129"/>
      <c r="B18" s="997"/>
      <c r="C18" s="998"/>
      <c r="D18" s="997"/>
    </row>
    <row r="19" spans="1:4" ht="50.25">
      <c r="A19" s="1129"/>
      <c r="B19" s="140" t="s">
        <v>822</v>
      </c>
      <c r="C19" s="1002"/>
      <c r="D19" s="999"/>
    </row>
    <row r="20" spans="2:4" s="93" customFormat="1" ht="15">
      <c r="B20" s="997"/>
      <c r="C20" s="998"/>
      <c r="D20" s="997"/>
    </row>
    <row r="21" spans="1:4" ht="53.25">
      <c r="A21" s="1129" t="s">
        <v>836</v>
      </c>
      <c r="B21" s="1000" t="s">
        <v>816</v>
      </c>
      <c r="C21" s="1002"/>
      <c r="D21" s="999"/>
    </row>
    <row r="22" spans="1:4" s="93" customFormat="1" ht="15">
      <c r="A22" s="1129"/>
      <c r="B22" s="997"/>
      <c r="C22" s="998"/>
      <c r="D22" s="997"/>
    </row>
    <row r="23" spans="1:4" ht="37.5">
      <c r="A23" s="1129"/>
      <c r="B23" s="1000" t="s">
        <v>823</v>
      </c>
      <c r="C23" s="1002"/>
      <c r="D23" s="999"/>
    </row>
    <row r="24" spans="2:4" s="93" customFormat="1" ht="15">
      <c r="B24" s="997"/>
      <c r="C24" s="998"/>
      <c r="D24" s="997"/>
    </row>
    <row r="25" spans="2:4" ht="66">
      <c r="B25" s="140" t="s">
        <v>824</v>
      </c>
      <c r="C25" s="1002"/>
      <c r="D25" s="999"/>
    </row>
    <row r="26" spans="2:5" s="93" customFormat="1" ht="15.75">
      <c r="B26" s="997"/>
      <c r="C26" s="998"/>
      <c r="D26" s="997"/>
      <c r="E26" s="357"/>
    </row>
    <row r="27" spans="2:5" ht="18.75">
      <c r="B27" s="1130" t="s">
        <v>914</v>
      </c>
      <c r="C27" s="1131"/>
      <c r="D27" s="1132"/>
      <c r="E27" s="357"/>
    </row>
    <row r="28" spans="2:3" s="93" customFormat="1" ht="15.75">
      <c r="B28" s="996"/>
      <c r="C28" s="1002"/>
    </row>
    <row r="29" spans="1:4" ht="37.5">
      <c r="A29" s="1129" t="s">
        <v>837</v>
      </c>
      <c r="B29" s="1000" t="s">
        <v>817</v>
      </c>
      <c r="C29" s="998" t="s">
        <v>815</v>
      </c>
      <c r="D29" s="1001" t="s">
        <v>814</v>
      </c>
    </row>
    <row r="30" spans="1:4" s="93" customFormat="1" ht="15">
      <c r="A30" s="1129"/>
      <c r="B30" s="997"/>
      <c r="C30" s="998"/>
      <c r="D30" s="997"/>
    </row>
    <row r="31" spans="1:4" ht="34.5">
      <c r="A31" s="1129"/>
      <c r="B31" s="140" t="s">
        <v>825</v>
      </c>
      <c r="C31" s="1002"/>
      <c r="D31" s="139"/>
    </row>
    <row r="32" spans="2:4" s="93" customFormat="1" ht="15">
      <c r="B32" s="997"/>
      <c r="C32" s="998"/>
      <c r="D32" s="997"/>
    </row>
    <row r="33" spans="2:4" ht="53.25">
      <c r="B33" s="139"/>
      <c r="D33" s="1000" t="s">
        <v>826</v>
      </c>
    </row>
    <row r="34" spans="2:4" s="93" customFormat="1" ht="15">
      <c r="B34" s="997"/>
      <c r="C34" s="998"/>
      <c r="D34" s="997"/>
    </row>
    <row r="35" spans="2:4" s="995" customFormat="1" ht="33.75" customHeight="1">
      <c r="B35" s="1127" t="s">
        <v>827</v>
      </c>
      <c r="C35" s="1127"/>
      <c r="D35" s="1127"/>
    </row>
    <row r="36" spans="2:4" s="93" customFormat="1" ht="15">
      <c r="B36" s="997"/>
      <c r="C36" s="998"/>
      <c r="D36" s="997"/>
    </row>
    <row r="37" spans="2:4" ht="75">
      <c r="B37" s="139"/>
      <c r="D37" s="1000" t="s">
        <v>844</v>
      </c>
    </row>
    <row r="38" spans="2:4" s="93" customFormat="1" ht="15">
      <c r="B38" s="997"/>
      <c r="C38" s="998"/>
      <c r="D38" s="997"/>
    </row>
    <row r="39" spans="2:4" ht="18.75">
      <c r="B39" s="1128" t="s">
        <v>913</v>
      </c>
      <c r="C39" s="1128"/>
      <c r="D39" s="1128"/>
    </row>
    <row r="41" ht="15.75">
      <c r="B41" t="s">
        <v>912</v>
      </c>
    </row>
  </sheetData>
  <sheetProtection/>
  <mergeCells count="7">
    <mergeCell ref="B35:D35"/>
    <mergeCell ref="B39:D39"/>
    <mergeCell ref="A7:A9"/>
    <mergeCell ref="A11:A19"/>
    <mergeCell ref="A21:A23"/>
    <mergeCell ref="A29:A31"/>
    <mergeCell ref="B27:D2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R737"/>
  <sheetViews>
    <sheetView showZeros="0" zoomScale="50" zoomScaleNormal="50" zoomScaleSheetLayoutView="90" zoomScalePageLayoutView="0" workbookViewId="0" topLeftCell="A46">
      <selection activeCell="B544" sqref="B544"/>
    </sheetView>
  </sheetViews>
  <sheetFormatPr defaultColWidth="9.140625" defaultRowHeight="15"/>
  <cols>
    <col min="1" max="1" width="15.8515625" style="18" customWidth="1"/>
    <col min="2" max="2" width="99.7109375" style="7" customWidth="1"/>
    <col min="3" max="3" width="12.421875" style="7" customWidth="1"/>
    <col min="4" max="4" width="13.7109375" style="7" customWidth="1"/>
    <col min="5" max="5" width="14.8515625" style="7" customWidth="1"/>
    <col min="6" max="6" width="11.7109375" style="7" customWidth="1"/>
    <col min="7" max="7" width="13.8515625" style="7" customWidth="1"/>
    <col min="8" max="8" width="12.57421875" style="7" customWidth="1"/>
    <col min="9" max="9" width="12.57421875" style="32" customWidth="1"/>
    <col min="10" max="10" width="14.140625" style="7" customWidth="1"/>
    <col min="11" max="11" width="15.00390625" style="32" customWidth="1"/>
    <col min="12" max="12" width="12.00390625" style="7" customWidth="1"/>
    <col min="13" max="13" width="14.140625" style="93" customWidth="1"/>
    <col min="14" max="14" width="12.00390625" style="93" customWidth="1"/>
    <col min="15" max="15" width="12.7109375" style="7" customWidth="1"/>
    <col min="16" max="17" width="17.7109375" style="7" customWidth="1"/>
    <col min="18" max="18" width="16.421875" style="42" customWidth="1"/>
    <col min="19" max="19" width="13.00390625" style="42" customWidth="1"/>
    <col min="20" max="20" width="25.28125" style="42" customWidth="1"/>
    <col min="21" max="21" width="12.421875" style="42" customWidth="1"/>
    <col min="22" max="22" width="14.7109375" style="7" customWidth="1"/>
    <col min="23" max="23" width="18.7109375" style="7" customWidth="1"/>
    <col min="24" max="24" width="21.57421875" style="35" customWidth="1"/>
    <col min="25" max="26" width="9.140625" style="35" customWidth="1"/>
    <col min="27" max="27" width="13.00390625" style="35" customWidth="1"/>
    <col min="28" max="16384" width="9.140625" style="7" customWidth="1"/>
  </cols>
  <sheetData>
    <row r="1" spans="1:27" s="93" customFormat="1" ht="15">
      <c r="A1" s="296"/>
      <c r="I1" s="32"/>
      <c r="K1" s="32"/>
      <c r="R1" s="42"/>
      <c r="S1" s="42"/>
      <c r="T1" s="42"/>
      <c r="U1" s="42"/>
      <c r="X1" s="35"/>
      <c r="Y1" s="35"/>
      <c r="Z1" s="35"/>
      <c r="AA1" s="35"/>
    </row>
    <row r="2" spans="1:21" s="694" customFormat="1" ht="26.25">
      <c r="A2" s="697" t="s">
        <v>510</v>
      </c>
      <c r="I2" s="695"/>
      <c r="K2" s="695"/>
      <c r="R2" s="696"/>
      <c r="S2" s="696"/>
      <c r="T2" s="696"/>
      <c r="U2" s="696"/>
    </row>
    <row r="3" spans="1:21" s="694" customFormat="1" ht="26.25">
      <c r="A3" s="697" t="s">
        <v>511</v>
      </c>
      <c r="I3" s="695"/>
      <c r="K3" s="695"/>
      <c r="R3" s="696"/>
      <c r="S3" s="696"/>
      <c r="T3" s="696"/>
      <c r="U3" s="696"/>
    </row>
    <row r="4" spans="1:21" s="694" customFormat="1" ht="26.25">
      <c r="A4" s="698" t="s">
        <v>891</v>
      </c>
      <c r="I4" s="695"/>
      <c r="K4" s="695"/>
      <c r="R4" s="696"/>
      <c r="S4" s="696"/>
      <c r="T4" s="696"/>
      <c r="U4" s="696"/>
    </row>
    <row r="5" ht="15.75" thickBot="1">
      <c r="A5" s="70"/>
    </row>
    <row r="6" spans="1:21" ht="15" customHeight="1">
      <c r="A6" s="1093" t="s">
        <v>453</v>
      </c>
      <c r="B6" s="1094"/>
      <c r="C6" s="1097" t="s">
        <v>682</v>
      </c>
      <c r="D6" s="1097"/>
      <c r="E6" s="1097"/>
      <c r="F6" s="1097"/>
      <c r="G6" s="1097"/>
      <c r="H6" s="1097"/>
      <c r="I6" s="1097"/>
      <c r="J6" s="1097"/>
      <c r="K6" s="1048" t="s">
        <v>295</v>
      </c>
      <c r="L6" s="1098" t="s">
        <v>0</v>
      </c>
      <c r="M6" s="1097"/>
      <c r="N6" s="1097"/>
      <c r="O6" s="1099"/>
      <c r="P6" s="370" t="s">
        <v>2</v>
      </c>
      <c r="Q6" s="1053" t="s">
        <v>329</v>
      </c>
      <c r="R6" s="57"/>
      <c r="S6" s="57"/>
      <c r="T6" s="57"/>
      <c r="U6" s="20"/>
    </row>
    <row r="7" spans="1:21" ht="60.75" thickBot="1">
      <c r="A7" s="1095"/>
      <c r="B7" s="1096"/>
      <c r="C7" s="155" t="s">
        <v>149</v>
      </c>
      <c r="D7" s="155" t="s">
        <v>150</v>
      </c>
      <c r="E7" s="155" t="s">
        <v>153</v>
      </c>
      <c r="F7" s="155" t="s">
        <v>151</v>
      </c>
      <c r="G7" s="155" t="s">
        <v>152</v>
      </c>
      <c r="H7" s="155" t="s">
        <v>32</v>
      </c>
      <c r="I7" s="321" t="s">
        <v>296</v>
      </c>
      <c r="J7" s="156" t="s">
        <v>683</v>
      </c>
      <c r="K7" s="1049"/>
      <c r="L7" s="353" t="s">
        <v>293</v>
      </c>
      <c r="M7" s="152" t="s">
        <v>843</v>
      </c>
      <c r="N7" s="354" t="s">
        <v>297</v>
      </c>
      <c r="O7" s="708" t="s">
        <v>495</v>
      </c>
      <c r="P7" s="371" t="s">
        <v>495</v>
      </c>
      <c r="Q7" s="1107"/>
      <c r="R7" s="57"/>
      <c r="S7" s="57"/>
      <c r="T7" s="57"/>
      <c r="U7" s="20"/>
    </row>
    <row r="8" spans="1:27" s="169" customFormat="1" ht="15.75">
      <c r="A8" s="253" t="s">
        <v>15</v>
      </c>
      <c r="B8" s="254" t="s">
        <v>260</v>
      </c>
      <c r="C8" s="164">
        <v>351210.1</v>
      </c>
      <c r="D8" s="164">
        <v>755804.99</v>
      </c>
      <c r="E8" s="164">
        <v>591091.8</v>
      </c>
      <c r="F8" s="164">
        <v>680760.12</v>
      </c>
      <c r="G8" s="164">
        <v>432991.19</v>
      </c>
      <c r="H8" s="164">
        <v>1512894.87</v>
      </c>
      <c r="I8" s="164">
        <f>SUM(C8:H8)</f>
        <v>4324753.07</v>
      </c>
      <c r="J8" s="257">
        <v>85527</v>
      </c>
      <c r="K8" s="166">
        <f>I8</f>
        <v>4324753.07</v>
      </c>
      <c r="L8" s="544" t="s">
        <v>292</v>
      </c>
      <c r="M8" s="544"/>
      <c r="N8" s="544"/>
      <c r="O8" s="545" t="str">
        <f>L8</f>
        <v>[20000000]</v>
      </c>
      <c r="P8" s="546"/>
      <c r="Q8" s="468"/>
      <c r="R8" s="167"/>
      <c r="S8" s="167"/>
      <c r="T8" s="167"/>
      <c r="U8" s="168"/>
      <c r="X8" s="357"/>
      <c r="Y8" s="357"/>
      <c r="Z8" s="357"/>
      <c r="AA8" s="357"/>
    </row>
    <row r="9" spans="1:27" s="93" customFormat="1" ht="15">
      <c r="A9" s="125" t="s">
        <v>192</v>
      </c>
      <c r="B9" s="92" t="s">
        <v>33</v>
      </c>
      <c r="C9" s="4">
        <v>102011.43</v>
      </c>
      <c r="D9" s="4">
        <v>20245.44</v>
      </c>
      <c r="E9" s="4">
        <v>11432.47</v>
      </c>
      <c r="F9" s="4">
        <v>5342.28</v>
      </c>
      <c r="G9" s="4">
        <v>2912.93</v>
      </c>
      <c r="H9" s="4">
        <v>34546.29</v>
      </c>
      <c r="I9" s="137">
        <f aca="true" t="shared" si="0" ref="I9:I16">SUM(C9:H9)</f>
        <v>176490.84</v>
      </c>
      <c r="J9" s="13"/>
      <c r="K9" s="262">
        <f>I9</f>
        <v>176490.84</v>
      </c>
      <c r="L9" s="118"/>
      <c r="M9" s="118"/>
      <c r="N9" s="547"/>
      <c r="O9" s="130"/>
      <c r="P9" s="463"/>
      <c r="Q9" s="469"/>
      <c r="X9" s="35"/>
      <c r="Y9" s="35"/>
      <c r="Z9" s="35"/>
      <c r="AA9" s="35"/>
    </row>
    <row r="10" spans="1:27" s="93" customFormat="1" ht="15">
      <c r="A10" s="125" t="s">
        <v>193</v>
      </c>
      <c r="B10" s="92" t="s">
        <v>88</v>
      </c>
      <c r="C10" s="4">
        <v>94416.5</v>
      </c>
      <c r="D10" s="4">
        <v>598596.04</v>
      </c>
      <c r="E10" s="4">
        <v>82552.04</v>
      </c>
      <c r="F10" s="4">
        <v>26101.82</v>
      </c>
      <c r="G10" s="4">
        <v>26507.38</v>
      </c>
      <c r="H10" s="4">
        <v>388138.43</v>
      </c>
      <c r="I10" s="137">
        <f t="shared" si="0"/>
        <v>1216312.21</v>
      </c>
      <c r="J10" s="13"/>
      <c r="K10" s="262">
        <f aca="true" t="shared" si="1" ref="K10:K46">I10</f>
        <v>1216312.21</v>
      </c>
      <c r="L10" s="118"/>
      <c r="M10" s="118"/>
      <c r="N10" s="547"/>
      <c r="O10" s="130"/>
      <c r="P10" s="463"/>
      <c r="Q10" s="469"/>
      <c r="X10" s="35"/>
      <c r="Y10" s="35"/>
      <c r="Z10" s="35"/>
      <c r="AA10" s="35"/>
    </row>
    <row r="11" spans="1:27" s="93" customFormat="1" ht="15">
      <c r="A11" s="125" t="s">
        <v>194</v>
      </c>
      <c r="B11" s="92" t="s">
        <v>89</v>
      </c>
      <c r="C11" s="4">
        <v>66904.21</v>
      </c>
      <c r="D11" s="4">
        <v>62486.11</v>
      </c>
      <c r="E11" s="4">
        <v>349895.5</v>
      </c>
      <c r="F11" s="4">
        <v>59510.07</v>
      </c>
      <c r="G11" s="4">
        <v>29046.39</v>
      </c>
      <c r="H11" s="4">
        <v>249248.47</v>
      </c>
      <c r="I11" s="137">
        <f t="shared" si="0"/>
        <v>817090.75</v>
      </c>
      <c r="J11" s="13"/>
      <c r="K11" s="262">
        <f t="shared" si="1"/>
        <v>817090.75</v>
      </c>
      <c r="L11" s="118"/>
      <c r="M11" s="118"/>
      <c r="N11" s="547"/>
      <c r="O11" s="130"/>
      <c r="P11" s="463"/>
      <c r="Q11" s="469"/>
      <c r="X11" s="35"/>
      <c r="Y11" s="35"/>
      <c r="Z11" s="35"/>
      <c r="AA11" s="35"/>
    </row>
    <row r="12" spans="1:27" s="93" customFormat="1" ht="15">
      <c r="A12" s="125" t="s">
        <v>195</v>
      </c>
      <c r="B12" s="92" t="s">
        <v>148</v>
      </c>
      <c r="C12" s="4">
        <v>68935.38</v>
      </c>
      <c r="D12" s="4">
        <v>60857.74</v>
      </c>
      <c r="E12" s="4">
        <v>122847.37</v>
      </c>
      <c r="F12" s="4">
        <v>551060.85</v>
      </c>
      <c r="G12" s="4">
        <v>74156.3</v>
      </c>
      <c r="H12" s="4">
        <v>672073.31</v>
      </c>
      <c r="I12" s="137">
        <f t="shared" si="0"/>
        <v>1549930.9500000002</v>
      </c>
      <c r="J12" s="13"/>
      <c r="K12" s="262">
        <f t="shared" si="1"/>
        <v>1549930.9500000002</v>
      </c>
      <c r="L12" s="118"/>
      <c r="M12" s="118"/>
      <c r="N12" s="547"/>
      <c r="O12" s="130"/>
      <c r="P12" s="463"/>
      <c r="Q12" s="469"/>
      <c r="X12" s="35"/>
      <c r="Y12" s="35"/>
      <c r="Z12" s="35"/>
      <c r="AA12" s="35"/>
    </row>
    <row r="13" spans="1:27" s="93" customFormat="1" ht="15">
      <c r="A13" s="125" t="s">
        <v>196</v>
      </c>
      <c r="B13" s="92" t="s">
        <v>90</v>
      </c>
      <c r="C13" s="4">
        <v>7065.71</v>
      </c>
      <c r="D13" s="4">
        <v>7771.33</v>
      </c>
      <c r="E13" s="4">
        <v>15580.99</v>
      </c>
      <c r="F13" s="4">
        <v>26943.74</v>
      </c>
      <c r="G13" s="4">
        <v>154368.73</v>
      </c>
      <c r="H13" s="4">
        <v>81118.72</v>
      </c>
      <c r="I13" s="137">
        <f t="shared" si="0"/>
        <v>292849.22</v>
      </c>
      <c r="J13" s="13"/>
      <c r="K13" s="262">
        <f t="shared" si="1"/>
        <v>292849.22</v>
      </c>
      <c r="L13" s="118"/>
      <c r="M13" s="118"/>
      <c r="N13" s="547"/>
      <c r="O13" s="130"/>
      <c r="P13" s="463"/>
      <c r="Q13" s="469"/>
      <c r="X13" s="35"/>
      <c r="Y13" s="35"/>
      <c r="Z13" s="35"/>
      <c r="AA13" s="35"/>
    </row>
    <row r="14" spans="1:27" s="93" customFormat="1" ht="15">
      <c r="A14" s="125" t="s">
        <v>197</v>
      </c>
      <c r="B14" s="92" t="s">
        <v>91</v>
      </c>
      <c r="C14" s="4">
        <v>1175.95</v>
      </c>
      <c r="D14" s="4">
        <v>711.91</v>
      </c>
      <c r="E14" s="4">
        <v>994.42</v>
      </c>
      <c r="F14" s="4">
        <v>3455.18</v>
      </c>
      <c r="G14" s="4">
        <v>41135.37</v>
      </c>
      <c r="H14" s="4">
        <v>14054.94</v>
      </c>
      <c r="I14" s="137">
        <f t="shared" si="0"/>
        <v>61527.770000000004</v>
      </c>
      <c r="J14" s="13"/>
      <c r="K14" s="262">
        <f t="shared" si="1"/>
        <v>61527.770000000004</v>
      </c>
      <c r="L14" s="118"/>
      <c r="M14" s="118"/>
      <c r="N14" s="547"/>
      <c r="O14" s="130"/>
      <c r="P14" s="463"/>
      <c r="Q14" s="469"/>
      <c r="X14" s="35"/>
      <c r="Y14" s="35"/>
      <c r="Z14" s="35"/>
      <c r="AA14" s="35"/>
    </row>
    <row r="15" spans="1:27" s="93" customFormat="1" ht="15">
      <c r="A15" s="125" t="s">
        <v>198</v>
      </c>
      <c r="B15" s="92" t="s">
        <v>92</v>
      </c>
      <c r="C15" s="4">
        <v>2241.83</v>
      </c>
      <c r="D15" s="4">
        <v>1912.19</v>
      </c>
      <c r="E15" s="4">
        <v>3898.54</v>
      </c>
      <c r="F15" s="4">
        <v>3971.56</v>
      </c>
      <c r="G15" s="4">
        <v>45173.86</v>
      </c>
      <c r="H15" s="4">
        <v>38711.65</v>
      </c>
      <c r="I15" s="137">
        <f t="shared" si="0"/>
        <v>95909.63</v>
      </c>
      <c r="J15" s="13"/>
      <c r="K15" s="262">
        <f t="shared" si="1"/>
        <v>95909.63</v>
      </c>
      <c r="L15" s="118"/>
      <c r="M15" s="118"/>
      <c r="N15" s="547"/>
      <c r="O15" s="130"/>
      <c r="P15" s="463"/>
      <c r="Q15" s="469"/>
      <c r="X15" s="35"/>
      <c r="Y15" s="35"/>
      <c r="Z15" s="35"/>
      <c r="AA15" s="35"/>
    </row>
    <row r="16" spans="1:27" s="93" customFormat="1" ht="15.75" thickBot="1">
      <c r="A16" s="126" t="s">
        <v>199</v>
      </c>
      <c r="B16" s="52" t="s">
        <v>93</v>
      </c>
      <c r="C16" s="46">
        <v>8459.09</v>
      </c>
      <c r="D16" s="46">
        <v>3224.23</v>
      </c>
      <c r="E16" s="46">
        <v>3890.47</v>
      </c>
      <c r="F16" s="46">
        <v>4374.62</v>
      </c>
      <c r="G16" s="46">
        <v>59690.23</v>
      </c>
      <c r="H16" s="46">
        <v>35003.06</v>
      </c>
      <c r="I16" s="264">
        <f t="shared" si="0"/>
        <v>114641.7</v>
      </c>
      <c r="J16" s="258">
        <v>85527</v>
      </c>
      <c r="K16" s="198">
        <f t="shared" si="1"/>
        <v>114641.7</v>
      </c>
      <c r="L16" s="118"/>
      <c r="M16" s="118"/>
      <c r="N16" s="547"/>
      <c r="O16" s="130"/>
      <c r="P16" s="463"/>
      <c r="Q16" s="469"/>
      <c r="X16" s="35"/>
      <c r="Y16" s="35"/>
      <c r="Z16" s="35"/>
      <c r="AA16" s="35"/>
    </row>
    <row r="17" spans="1:27" s="169" customFormat="1" ht="15.75">
      <c r="A17" s="253" t="s">
        <v>16</v>
      </c>
      <c r="B17" s="255" t="s">
        <v>261</v>
      </c>
      <c r="C17" s="256">
        <f aca="true" t="shared" si="2" ref="C17:H17">C18+C26+C30</f>
        <v>16012.650000000001</v>
      </c>
      <c r="D17" s="256">
        <f t="shared" si="2"/>
        <v>16965.07</v>
      </c>
      <c r="E17" s="256">
        <f t="shared" si="2"/>
        <v>20161.489999999998</v>
      </c>
      <c r="F17" s="256">
        <f t="shared" si="2"/>
        <v>41397.22</v>
      </c>
      <c r="G17" s="256">
        <f t="shared" si="2"/>
        <v>11805.16</v>
      </c>
      <c r="H17" s="256">
        <f t="shared" si="2"/>
        <v>52132.75</v>
      </c>
      <c r="I17" s="164">
        <f aca="true" t="shared" si="3" ref="I17:I36">SUM(C17:H17)</f>
        <v>158474.34</v>
      </c>
      <c r="J17" s="165"/>
      <c r="K17" s="166">
        <f t="shared" si="1"/>
        <v>158474.34</v>
      </c>
      <c r="L17" s="170"/>
      <c r="M17" s="170"/>
      <c r="N17" s="548"/>
      <c r="O17" s="459"/>
      <c r="P17" s="464"/>
      <c r="Q17" s="470"/>
      <c r="X17" s="357"/>
      <c r="Y17" s="357"/>
      <c r="Z17" s="357"/>
      <c r="AA17" s="357"/>
    </row>
    <row r="18" spans="1:27" s="123" customFormat="1" ht="15">
      <c r="A18" s="247" t="s">
        <v>173</v>
      </c>
      <c r="B18" s="248" t="s">
        <v>716</v>
      </c>
      <c r="C18" s="249">
        <f aca="true" t="shared" si="4" ref="C18:H18">SUM(C19:C25)</f>
        <v>9340.400000000001</v>
      </c>
      <c r="D18" s="249">
        <f t="shared" si="4"/>
        <v>5542.670000000001</v>
      </c>
      <c r="E18" s="249">
        <f t="shared" si="4"/>
        <v>7210.639999999999</v>
      </c>
      <c r="F18" s="249">
        <f t="shared" si="4"/>
        <v>1525.61</v>
      </c>
      <c r="G18" s="249">
        <f t="shared" si="4"/>
        <v>1819.64</v>
      </c>
      <c r="H18" s="249">
        <f t="shared" si="4"/>
        <v>9360.82</v>
      </c>
      <c r="I18" s="138">
        <f t="shared" si="3"/>
        <v>34799.78</v>
      </c>
      <c r="J18" s="122"/>
      <c r="K18" s="160">
        <f t="shared" si="1"/>
        <v>34799.78</v>
      </c>
      <c r="L18" s="158"/>
      <c r="M18" s="158"/>
      <c r="N18" s="549"/>
      <c r="O18" s="460"/>
      <c r="P18" s="465"/>
      <c r="Q18" s="471"/>
      <c r="X18" s="41"/>
      <c r="Y18" s="41"/>
      <c r="Z18" s="41"/>
      <c r="AA18" s="41"/>
    </row>
    <row r="19" spans="1:17" s="41" customFormat="1" ht="15">
      <c r="A19" s="142" t="s">
        <v>174</v>
      </c>
      <c r="B19" s="37" t="s">
        <v>154</v>
      </c>
      <c r="C19" s="38">
        <v>6574.25</v>
      </c>
      <c r="D19" s="38">
        <v>1984.88</v>
      </c>
      <c r="E19" s="38">
        <v>1259.04</v>
      </c>
      <c r="F19" s="38">
        <v>275.67</v>
      </c>
      <c r="G19" s="38">
        <v>156.02</v>
      </c>
      <c r="H19" s="38">
        <v>2402.21</v>
      </c>
      <c r="I19" s="138">
        <f t="shared" si="3"/>
        <v>12652.070000000003</v>
      </c>
      <c r="J19" s="40"/>
      <c r="K19" s="160">
        <f t="shared" si="1"/>
        <v>12652.070000000003</v>
      </c>
      <c r="L19" s="159"/>
      <c r="M19" s="159"/>
      <c r="N19" s="550"/>
      <c r="O19" s="461"/>
      <c r="P19" s="466"/>
      <c r="Q19" s="472"/>
    </row>
    <row r="20" spans="1:17" s="41" customFormat="1" ht="15">
      <c r="A20" s="142" t="s">
        <v>175</v>
      </c>
      <c r="B20" s="37" t="s">
        <v>155</v>
      </c>
      <c r="C20" s="38">
        <v>755.76</v>
      </c>
      <c r="D20" s="38">
        <v>50.75</v>
      </c>
      <c r="E20" s="38">
        <v>80.48</v>
      </c>
      <c r="F20" s="38">
        <v>337.69</v>
      </c>
      <c r="G20" s="38">
        <v>36.14</v>
      </c>
      <c r="H20" s="38">
        <v>400.29</v>
      </c>
      <c r="I20" s="138">
        <f t="shared" si="3"/>
        <v>1661.1100000000001</v>
      </c>
      <c r="J20" s="40"/>
      <c r="K20" s="160">
        <f t="shared" si="1"/>
        <v>1661.1100000000001</v>
      </c>
      <c r="L20" s="159"/>
      <c r="M20" s="159"/>
      <c r="N20" s="550"/>
      <c r="O20" s="461"/>
      <c r="P20" s="466"/>
      <c r="Q20" s="472"/>
    </row>
    <row r="21" spans="1:17" s="41" customFormat="1" ht="15">
      <c r="A21" s="142" t="s">
        <v>176</v>
      </c>
      <c r="B21" s="37" t="s">
        <v>156</v>
      </c>
      <c r="C21" s="38">
        <v>664.67</v>
      </c>
      <c r="D21" s="38">
        <v>40.51</v>
      </c>
      <c r="E21" s="38">
        <v>53.09</v>
      </c>
      <c r="F21" s="38">
        <v>41.03</v>
      </c>
      <c r="G21" s="38">
        <v>189.63</v>
      </c>
      <c r="H21" s="38">
        <v>199.15</v>
      </c>
      <c r="I21" s="138">
        <f t="shared" si="3"/>
        <v>1188.08</v>
      </c>
      <c r="J21" s="40"/>
      <c r="K21" s="160">
        <f t="shared" si="1"/>
        <v>1188.08</v>
      </c>
      <c r="L21" s="159"/>
      <c r="M21" s="159"/>
      <c r="N21" s="550"/>
      <c r="O21" s="461"/>
      <c r="P21" s="466"/>
      <c r="Q21" s="472"/>
    </row>
    <row r="22" spans="1:17" s="41" customFormat="1" ht="15">
      <c r="A22" s="142" t="s">
        <v>177</v>
      </c>
      <c r="B22" s="37" t="s">
        <v>157</v>
      </c>
      <c r="C22" s="38">
        <v>614.7</v>
      </c>
      <c r="D22" s="38">
        <v>2293.05</v>
      </c>
      <c r="E22" s="38">
        <v>3815.37</v>
      </c>
      <c r="F22" s="38">
        <v>174.77</v>
      </c>
      <c r="G22" s="38">
        <v>200.25</v>
      </c>
      <c r="H22" s="38">
        <v>3421.56</v>
      </c>
      <c r="I22" s="138">
        <f t="shared" si="3"/>
        <v>10519.7</v>
      </c>
      <c r="J22" s="40"/>
      <c r="K22" s="160">
        <f t="shared" si="1"/>
        <v>10519.7</v>
      </c>
      <c r="L22" s="159"/>
      <c r="M22" s="159"/>
      <c r="N22" s="550"/>
      <c r="O22" s="461"/>
      <c r="P22" s="466"/>
      <c r="Q22" s="472"/>
    </row>
    <row r="23" spans="1:17" s="41" customFormat="1" ht="15">
      <c r="A23" s="142" t="s">
        <v>178</v>
      </c>
      <c r="B23" s="37" t="s">
        <v>158</v>
      </c>
      <c r="C23" s="38">
        <v>67.18</v>
      </c>
      <c r="D23" s="38">
        <v>227.54</v>
      </c>
      <c r="E23" s="38">
        <v>1003.25</v>
      </c>
      <c r="F23" s="38">
        <v>391.53</v>
      </c>
      <c r="G23" s="38">
        <v>108.18</v>
      </c>
      <c r="H23" s="38">
        <v>903.04</v>
      </c>
      <c r="I23" s="138">
        <f t="shared" si="3"/>
        <v>2700.7200000000003</v>
      </c>
      <c r="J23" s="40"/>
      <c r="K23" s="160">
        <f t="shared" si="1"/>
        <v>2700.7200000000003</v>
      </c>
      <c r="L23" s="159"/>
      <c r="M23" s="159"/>
      <c r="N23" s="550"/>
      <c r="O23" s="461"/>
      <c r="P23" s="466"/>
      <c r="Q23" s="472"/>
    </row>
    <row r="24" spans="1:17" s="41" customFormat="1" ht="15">
      <c r="A24" s="142" t="s">
        <v>179</v>
      </c>
      <c r="B24" s="37" t="s">
        <v>159</v>
      </c>
      <c r="C24" s="38">
        <v>468.35</v>
      </c>
      <c r="D24" s="38">
        <v>746.17</v>
      </c>
      <c r="E24" s="38">
        <v>814</v>
      </c>
      <c r="F24" s="38">
        <v>194.35</v>
      </c>
      <c r="G24" s="38">
        <v>621.21</v>
      </c>
      <c r="H24" s="38">
        <v>1576.16</v>
      </c>
      <c r="I24" s="138">
        <f t="shared" si="3"/>
        <v>4420.24</v>
      </c>
      <c r="J24" s="40"/>
      <c r="K24" s="160">
        <f t="shared" si="1"/>
        <v>4420.24</v>
      </c>
      <c r="L24" s="159"/>
      <c r="M24" s="159"/>
      <c r="N24" s="550"/>
      <c r="O24" s="461"/>
      <c r="P24" s="466"/>
      <c r="Q24" s="472"/>
    </row>
    <row r="25" spans="1:17" s="41" customFormat="1" ht="15">
      <c r="A25" s="142" t="s">
        <v>180</v>
      </c>
      <c r="B25" s="37" t="s">
        <v>160</v>
      </c>
      <c r="C25" s="38">
        <v>195.49</v>
      </c>
      <c r="D25" s="38">
        <v>199.77</v>
      </c>
      <c r="E25" s="38">
        <v>185.41</v>
      </c>
      <c r="F25" s="38">
        <v>110.57</v>
      </c>
      <c r="G25" s="38">
        <v>508.21</v>
      </c>
      <c r="H25" s="38">
        <v>458.41</v>
      </c>
      <c r="I25" s="138">
        <f t="shared" si="3"/>
        <v>1657.8600000000001</v>
      </c>
      <c r="J25" s="40"/>
      <c r="K25" s="160">
        <f t="shared" si="1"/>
        <v>1657.8600000000001</v>
      </c>
      <c r="L25" s="159"/>
      <c r="M25" s="159"/>
      <c r="N25" s="550"/>
      <c r="O25" s="461"/>
      <c r="P25" s="466"/>
      <c r="Q25" s="472"/>
    </row>
    <row r="26" spans="1:27" s="123" customFormat="1" ht="15">
      <c r="A26" s="247" t="s">
        <v>181</v>
      </c>
      <c r="B26" s="248" t="s">
        <v>161</v>
      </c>
      <c r="C26" s="249">
        <f aca="true" t="shared" si="5" ref="C26:H26">SUM(C27:C29)</f>
        <v>2005.99</v>
      </c>
      <c r="D26" s="249">
        <f t="shared" si="5"/>
        <v>2020.9899999999998</v>
      </c>
      <c r="E26" s="249">
        <f t="shared" si="5"/>
        <v>5764.78</v>
      </c>
      <c r="F26" s="249">
        <f t="shared" si="5"/>
        <v>5491.74</v>
      </c>
      <c r="G26" s="249">
        <f t="shared" si="5"/>
        <v>3153.24</v>
      </c>
      <c r="H26" s="249">
        <f t="shared" si="5"/>
        <v>10087.95</v>
      </c>
      <c r="I26" s="138">
        <f t="shared" si="3"/>
        <v>28524.69</v>
      </c>
      <c r="J26" s="122"/>
      <c r="K26" s="160">
        <f t="shared" si="1"/>
        <v>28524.69</v>
      </c>
      <c r="L26" s="158"/>
      <c r="M26" s="158"/>
      <c r="N26" s="549"/>
      <c r="O26" s="460"/>
      <c r="P26" s="465"/>
      <c r="Q26" s="471"/>
      <c r="X26" s="41"/>
      <c r="Y26" s="41"/>
      <c r="Z26" s="41"/>
      <c r="AA26" s="41"/>
    </row>
    <row r="27" spans="1:17" s="41" customFormat="1" ht="15">
      <c r="A27" s="113" t="s">
        <v>182</v>
      </c>
      <c r="B27" s="37" t="s">
        <v>162</v>
      </c>
      <c r="C27" s="38">
        <v>999.19</v>
      </c>
      <c r="D27" s="38">
        <v>1192.28</v>
      </c>
      <c r="E27" s="38">
        <v>3697.28</v>
      </c>
      <c r="F27" s="38">
        <v>734.83</v>
      </c>
      <c r="G27" s="38">
        <v>253.48</v>
      </c>
      <c r="H27" s="38">
        <v>4573.33</v>
      </c>
      <c r="I27" s="138">
        <f t="shared" si="3"/>
        <v>11450.39</v>
      </c>
      <c r="J27" s="40"/>
      <c r="K27" s="160">
        <f t="shared" si="1"/>
        <v>11450.39</v>
      </c>
      <c r="L27" s="159"/>
      <c r="M27" s="159"/>
      <c r="N27" s="550"/>
      <c r="O27" s="461"/>
      <c r="P27" s="466"/>
      <c r="Q27" s="472"/>
    </row>
    <row r="28" spans="1:17" s="41" customFormat="1" ht="15">
      <c r="A28" s="113" t="s">
        <v>183</v>
      </c>
      <c r="B28" s="37" t="s">
        <v>163</v>
      </c>
      <c r="C28" s="38">
        <v>503</v>
      </c>
      <c r="D28" s="38">
        <v>658.38</v>
      </c>
      <c r="E28" s="38">
        <v>1460.84</v>
      </c>
      <c r="F28" s="38">
        <v>940.55</v>
      </c>
      <c r="G28" s="38">
        <v>726.27</v>
      </c>
      <c r="H28" s="38">
        <v>2840.32</v>
      </c>
      <c r="I28" s="138">
        <f t="shared" si="3"/>
        <v>7129.360000000001</v>
      </c>
      <c r="J28" s="40"/>
      <c r="K28" s="160">
        <f t="shared" si="1"/>
        <v>7129.360000000001</v>
      </c>
      <c r="L28" s="159"/>
      <c r="M28" s="159"/>
      <c r="N28" s="550"/>
      <c r="O28" s="461"/>
      <c r="P28" s="466"/>
      <c r="Q28" s="472"/>
    </row>
    <row r="29" spans="1:17" s="41" customFormat="1" ht="15">
      <c r="A29" s="113" t="s">
        <v>184</v>
      </c>
      <c r="B29" s="37" t="s">
        <v>164</v>
      </c>
      <c r="C29" s="38">
        <v>503.8</v>
      </c>
      <c r="D29" s="38">
        <v>170.33</v>
      </c>
      <c r="E29" s="38">
        <v>606.66</v>
      </c>
      <c r="F29" s="38">
        <v>3816.36</v>
      </c>
      <c r="G29" s="38">
        <v>2173.49</v>
      </c>
      <c r="H29" s="38">
        <v>2674.3</v>
      </c>
      <c r="I29" s="138">
        <f t="shared" si="3"/>
        <v>9944.939999999999</v>
      </c>
      <c r="J29" s="40"/>
      <c r="K29" s="160">
        <f t="shared" si="1"/>
        <v>9944.939999999999</v>
      </c>
      <c r="L29" s="159"/>
      <c r="M29" s="159"/>
      <c r="N29" s="550"/>
      <c r="O29" s="461"/>
      <c r="P29" s="466"/>
      <c r="Q29" s="472"/>
    </row>
    <row r="30" spans="1:27" s="123" customFormat="1" ht="15">
      <c r="A30" s="247" t="s">
        <v>185</v>
      </c>
      <c r="B30" s="248" t="s">
        <v>165</v>
      </c>
      <c r="C30" s="249">
        <f aca="true" t="shared" si="6" ref="C30:H30">SUM(C31:C35)</f>
        <v>4666.26</v>
      </c>
      <c r="D30" s="249">
        <f t="shared" si="6"/>
        <v>9401.41</v>
      </c>
      <c r="E30" s="249">
        <f t="shared" si="6"/>
        <v>7186.070000000001</v>
      </c>
      <c r="F30" s="249">
        <f t="shared" si="6"/>
        <v>34379.87</v>
      </c>
      <c r="G30" s="249">
        <f t="shared" si="6"/>
        <v>6832.280000000001</v>
      </c>
      <c r="H30" s="249">
        <f t="shared" si="6"/>
        <v>32683.98</v>
      </c>
      <c r="I30" s="138">
        <f t="shared" si="3"/>
        <v>95149.87</v>
      </c>
      <c r="J30" s="122"/>
      <c r="K30" s="160">
        <f t="shared" si="1"/>
        <v>95149.87</v>
      </c>
      <c r="L30" s="158"/>
      <c r="M30" s="158"/>
      <c r="N30" s="549"/>
      <c r="O30" s="460"/>
      <c r="P30" s="465"/>
      <c r="Q30" s="471"/>
      <c r="X30" s="41"/>
      <c r="Y30" s="41"/>
      <c r="Z30" s="41"/>
      <c r="AA30" s="41"/>
    </row>
    <row r="31" spans="1:17" s="41" customFormat="1" ht="15">
      <c r="A31" s="113" t="s">
        <v>186</v>
      </c>
      <c r="B31" s="37" t="s">
        <v>166</v>
      </c>
      <c r="C31" s="38">
        <v>1393.34</v>
      </c>
      <c r="D31" s="38">
        <v>124.42</v>
      </c>
      <c r="E31" s="38">
        <v>80.02</v>
      </c>
      <c r="F31" s="38">
        <v>70.6</v>
      </c>
      <c r="G31" s="38">
        <v>24.38</v>
      </c>
      <c r="H31" s="38">
        <v>204.9</v>
      </c>
      <c r="I31" s="138">
        <f t="shared" si="3"/>
        <v>1897.66</v>
      </c>
      <c r="J31" s="40"/>
      <c r="K31" s="160">
        <f t="shared" si="1"/>
        <v>1897.66</v>
      </c>
      <c r="L31" s="159"/>
      <c r="M31" s="159"/>
      <c r="N31" s="550"/>
      <c r="O31" s="461"/>
      <c r="P31" s="466"/>
      <c r="Q31" s="472"/>
    </row>
    <row r="32" spans="1:17" s="41" customFormat="1" ht="15">
      <c r="A32" s="113" t="s">
        <v>187</v>
      </c>
      <c r="B32" s="37" t="s">
        <v>167</v>
      </c>
      <c r="C32" s="38">
        <v>575.52</v>
      </c>
      <c r="D32" s="38">
        <v>6676.5</v>
      </c>
      <c r="E32" s="38">
        <v>667.33</v>
      </c>
      <c r="F32" s="38">
        <v>119.73</v>
      </c>
      <c r="G32" s="38">
        <v>195.47</v>
      </c>
      <c r="H32" s="38">
        <v>2067.26</v>
      </c>
      <c r="I32" s="138">
        <f t="shared" si="3"/>
        <v>10301.81</v>
      </c>
      <c r="J32" s="40"/>
      <c r="K32" s="160">
        <f t="shared" si="1"/>
        <v>10301.81</v>
      </c>
      <c r="L32" s="159"/>
      <c r="M32" s="159"/>
      <c r="N32" s="550"/>
      <c r="O32" s="461"/>
      <c r="P32" s="466"/>
      <c r="Q32" s="472"/>
    </row>
    <row r="33" spans="1:17" s="41" customFormat="1" ht="15">
      <c r="A33" s="113" t="s">
        <v>188</v>
      </c>
      <c r="B33" s="37" t="s">
        <v>172</v>
      </c>
      <c r="C33" s="38">
        <v>1471.39</v>
      </c>
      <c r="D33" s="38">
        <v>1664.81</v>
      </c>
      <c r="E33" s="38">
        <v>4626.64</v>
      </c>
      <c r="F33" s="38">
        <v>19887.66</v>
      </c>
      <c r="G33" s="38">
        <v>2013.79</v>
      </c>
      <c r="H33" s="38">
        <v>19053.58</v>
      </c>
      <c r="I33" s="138">
        <f t="shared" si="3"/>
        <v>48717.87</v>
      </c>
      <c r="J33" s="40"/>
      <c r="K33" s="160">
        <f t="shared" si="1"/>
        <v>48717.87</v>
      </c>
      <c r="L33" s="159"/>
      <c r="M33" s="159"/>
      <c r="N33" s="550"/>
      <c r="O33" s="461"/>
      <c r="P33" s="466"/>
      <c r="Q33" s="472"/>
    </row>
    <row r="34" spans="1:17" s="41" customFormat="1" ht="15">
      <c r="A34" s="113" t="s">
        <v>189</v>
      </c>
      <c r="B34" s="37" t="s">
        <v>168</v>
      </c>
      <c r="C34" s="38">
        <v>797.22</v>
      </c>
      <c r="D34" s="38">
        <v>820.26</v>
      </c>
      <c r="E34" s="38">
        <v>1454.82</v>
      </c>
      <c r="F34" s="38">
        <v>13596.17</v>
      </c>
      <c r="G34" s="38">
        <v>1234.03</v>
      </c>
      <c r="H34" s="38">
        <v>9794.19</v>
      </c>
      <c r="I34" s="138">
        <f t="shared" si="3"/>
        <v>27696.690000000002</v>
      </c>
      <c r="J34" s="40"/>
      <c r="K34" s="160">
        <f t="shared" si="1"/>
        <v>27696.690000000002</v>
      </c>
      <c r="L34" s="159"/>
      <c r="M34" s="159"/>
      <c r="N34" s="550"/>
      <c r="O34" s="461"/>
      <c r="P34" s="466"/>
      <c r="Q34" s="472"/>
    </row>
    <row r="35" spans="1:17" s="41" customFormat="1" ht="15">
      <c r="A35" s="113" t="s">
        <v>190</v>
      </c>
      <c r="B35" s="37" t="s">
        <v>169</v>
      </c>
      <c r="C35" s="38">
        <v>428.79</v>
      </c>
      <c r="D35" s="38">
        <v>115.42</v>
      </c>
      <c r="E35" s="38">
        <v>357.26</v>
      </c>
      <c r="F35" s="38">
        <v>705.71</v>
      </c>
      <c r="G35" s="38">
        <v>3364.61</v>
      </c>
      <c r="H35" s="38">
        <v>1564.05</v>
      </c>
      <c r="I35" s="138">
        <f t="shared" si="3"/>
        <v>6535.84</v>
      </c>
      <c r="J35" s="40"/>
      <c r="K35" s="160">
        <f t="shared" si="1"/>
        <v>6535.84</v>
      </c>
      <c r="L35" s="159"/>
      <c r="M35" s="159"/>
      <c r="N35" s="550"/>
      <c r="O35" s="461"/>
      <c r="P35" s="466"/>
      <c r="Q35" s="472"/>
    </row>
    <row r="36" spans="1:27" s="123" customFormat="1" ht="15">
      <c r="A36" s="247" t="s">
        <v>191</v>
      </c>
      <c r="B36" s="248" t="s">
        <v>170</v>
      </c>
      <c r="C36" s="249">
        <f aca="true" t="shared" si="7" ref="C36:H36">C8-C17</f>
        <v>335197.44999999995</v>
      </c>
      <c r="D36" s="249">
        <f t="shared" si="7"/>
        <v>738839.92</v>
      </c>
      <c r="E36" s="249">
        <f t="shared" si="7"/>
        <v>570930.31</v>
      </c>
      <c r="F36" s="249">
        <f t="shared" si="7"/>
        <v>639362.9</v>
      </c>
      <c r="G36" s="249">
        <f t="shared" si="7"/>
        <v>421186.03</v>
      </c>
      <c r="H36" s="249">
        <f t="shared" si="7"/>
        <v>1460762.12</v>
      </c>
      <c r="I36" s="138">
        <f t="shared" si="3"/>
        <v>4166278.7300000004</v>
      </c>
      <c r="J36" s="40"/>
      <c r="K36" s="160">
        <f t="shared" si="1"/>
        <v>4166278.7300000004</v>
      </c>
      <c r="L36" s="158"/>
      <c r="M36" s="158"/>
      <c r="N36" s="549"/>
      <c r="O36" s="460"/>
      <c r="P36" s="465"/>
      <c r="Q36" s="473"/>
      <c r="R36" s="124"/>
      <c r="S36" s="124"/>
      <c r="T36" s="124"/>
      <c r="U36" s="124"/>
      <c r="X36" s="41"/>
      <c r="Y36" s="41"/>
      <c r="Z36" s="41"/>
      <c r="AA36" s="41"/>
    </row>
    <row r="37" spans="1:27" s="123" customFormat="1" ht="15.75" thickBot="1">
      <c r="A37" s="250" t="s">
        <v>191</v>
      </c>
      <c r="B37" s="251" t="s">
        <v>171</v>
      </c>
      <c r="C37" s="252">
        <f aca="true" t="shared" si="8" ref="C37:H37">C38-C8</f>
        <v>7809.390000000014</v>
      </c>
      <c r="D37" s="252">
        <f t="shared" si="8"/>
        <v>-4608.629999999888</v>
      </c>
      <c r="E37" s="252">
        <f t="shared" si="8"/>
        <v>296.8699999998789</v>
      </c>
      <c r="F37" s="252">
        <f t="shared" si="8"/>
        <v>-17032.75</v>
      </c>
      <c r="G37" s="252">
        <f t="shared" si="8"/>
        <v>12162.929999999993</v>
      </c>
      <c r="H37" s="252">
        <f t="shared" si="8"/>
        <v>1372.3400000000838</v>
      </c>
      <c r="I37" s="161">
        <f>SUM(C37:H37)</f>
        <v>0.15000000008149073</v>
      </c>
      <c r="J37" s="162"/>
      <c r="K37" s="163">
        <f t="shared" si="1"/>
        <v>0.15000000008149073</v>
      </c>
      <c r="L37" s="158"/>
      <c r="M37" s="158"/>
      <c r="N37" s="549"/>
      <c r="O37" s="460"/>
      <c r="P37" s="465"/>
      <c r="Q37" s="471"/>
      <c r="X37" s="41"/>
      <c r="Y37" s="41"/>
      <c r="Z37" s="41"/>
      <c r="AA37" s="41"/>
    </row>
    <row r="38" spans="1:27" s="169" customFormat="1" ht="15.75">
      <c r="A38" s="253" t="s">
        <v>17</v>
      </c>
      <c r="B38" s="254" t="s">
        <v>262</v>
      </c>
      <c r="C38" s="164">
        <f aca="true" t="shared" si="9" ref="C38:H38">SUM(C39:C46)</f>
        <v>359019.49</v>
      </c>
      <c r="D38" s="164">
        <f t="shared" si="9"/>
        <v>751196.3600000001</v>
      </c>
      <c r="E38" s="164">
        <f t="shared" si="9"/>
        <v>591388.6699999999</v>
      </c>
      <c r="F38" s="164">
        <f t="shared" si="9"/>
        <v>663727.37</v>
      </c>
      <c r="G38" s="164">
        <f t="shared" si="9"/>
        <v>445154.12</v>
      </c>
      <c r="H38" s="164">
        <f t="shared" si="9"/>
        <v>1514267.2100000002</v>
      </c>
      <c r="I38" s="196">
        <f aca="true" t="shared" si="10" ref="I38:I46">SUM(C38:H38)</f>
        <v>4324753.220000001</v>
      </c>
      <c r="J38" s="259">
        <v>85527</v>
      </c>
      <c r="K38" s="197">
        <f t="shared" si="1"/>
        <v>4324753.220000001</v>
      </c>
      <c r="L38" s="433" t="str">
        <f>L8</f>
        <v>[20000000]</v>
      </c>
      <c r="M38" s="433"/>
      <c r="N38" s="433"/>
      <c r="O38" s="415" t="str">
        <f>L38</f>
        <v>[20000000]</v>
      </c>
      <c r="P38" s="417"/>
      <c r="Q38" s="474"/>
      <c r="R38" s="167"/>
      <c r="S38" s="167"/>
      <c r="T38" s="167"/>
      <c r="U38" s="168"/>
      <c r="X38" s="357"/>
      <c r="Y38" s="357"/>
      <c r="Z38" s="357"/>
      <c r="AA38" s="357"/>
    </row>
    <row r="39" spans="1:27" s="93" customFormat="1" ht="15">
      <c r="A39" s="125" t="s">
        <v>200</v>
      </c>
      <c r="B39" s="92" t="s">
        <v>33</v>
      </c>
      <c r="C39" s="4">
        <v>111917.88</v>
      </c>
      <c r="D39" s="4">
        <v>21355.79</v>
      </c>
      <c r="E39" s="4">
        <v>12058.07</v>
      </c>
      <c r="F39" s="4">
        <v>5273.26</v>
      </c>
      <c r="G39" s="4">
        <v>2995.82</v>
      </c>
      <c r="H39" s="4">
        <v>36328.42</v>
      </c>
      <c r="I39" s="138">
        <f t="shared" si="10"/>
        <v>189929.24000000005</v>
      </c>
      <c r="J39" s="13"/>
      <c r="K39" s="160">
        <f t="shared" si="1"/>
        <v>189929.24000000005</v>
      </c>
      <c r="L39" s="118"/>
      <c r="M39" s="118"/>
      <c r="N39" s="547"/>
      <c r="O39" s="130"/>
      <c r="P39" s="463"/>
      <c r="Q39" s="469"/>
      <c r="X39" s="35"/>
      <c r="Y39" s="35"/>
      <c r="Z39" s="35"/>
      <c r="AA39" s="35"/>
    </row>
    <row r="40" spans="1:27" s="93" customFormat="1" ht="15">
      <c r="A40" s="125" t="s">
        <v>201</v>
      </c>
      <c r="B40" s="92" t="s">
        <v>88</v>
      </c>
      <c r="C40" s="4">
        <v>94413.09</v>
      </c>
      <c r="D40" s="4">
        <v>596376.9</v>
      </c>
      <c r="E40" s="4">
        <v>76048.17</v>
      </c>
      <c r="F40" s="4">
        <v>22701.3</v>
      </c>
      <c r="G40" s="4">
        <v>27394.35</v>
      </c>
      <c r="H40" s="4">
        <v>390719.17</v>
      </c>
      <c r="I40" s="138">
        <f t="shared" si="10"/>
        <v>1207652.98</v>
      </c>
      <c r="J40" s="13"/>
      <c r="K40" s="160">
        <f t="shared" si="1"/>
        <v>1207652.98</v>
      </c>
      <c r="L40" s="118"/>
      <c r="M40" s="118"/>
      <c r="N40" s="547"/>
      <c r="O40" s="130"/>
      <c r="P40" s="463"/>
      <c r="Q40" s="469"/>
      <c r="X40" s="35"/>
      <c r="Y40" s="35"/>
      <c r="Z40" s="35"/>
      <c r="AA40" s="35"/>
    </row>
    <row r="41" spans="1:27" s="93" customFormat="1" ht="15">
      <c r="A41" s="125" t="s">
        <v>202</v>
      </c>
      <c r="B41" s="92" t="s">
        <v>89</v>
      </c>
      <c r="C41" s="4">
        <v>66815.77</v>
      </c>
      <c r="D41" s="4">
        <v>59115.36</v>
      </c>
      <c r="E41" s="4">
        <v>356965.21</v>
      </c>
      <c r="F41" s="4">
        <v>54161.4</v>
      </c>
      <c r="G41" s="4">
        <v>30596.51</v>
      </c>
      <c r="H41" s="4">
        <v>245741.61</v>
      </c>
      <c r="I41" s="138">
        <f t="shared" si="10"/>
        <v>813395.86</v>
      </c>
      <c r="J41" s="13"/>
      <c r="K41" s="160">
        <f t="shared" si="1"/>
        <v>813395.86</v>
      </c>
      <c r="L41" s="118"/>
      <c r="M41" s="118"/>
      <c r="N41" s="547"/>
      <c r="O41" s="130"/>
      <c r="P41" s="463"/>
      <c r="Q41" s="469"/>
      <c r="X41" s="35"/>
      <c r="Y41" s="35"/>
      <c r="Z41" s="35"/>
      <c r="AA41" s="35"/>
    </row>
    <row r="42" spans="1:27" s="93" customFormat="1" ht="15">
      <c r="A42" s="125" t="s">
        <v>203</v>
      </c>
      <c r="B42" s="92" t="s">
        <v>148</v>
      </c>
      <c r="C42" s="4">
        <v>66846.46</v>
      </c>
      <c r="D42" s="4">
        <v>61887.31</v>
      </c>
      <c r="E42" s="4">
        <v>122271.54</v>
      </c>
      <c r="F42" s="4">
        <v>547920.91</v>
      </c>
      <c r="G42" s="4">
        <v>76900.33</v>
      </c>
      <c r="H42" s="4">
        <v>679966.36</v>
      </c>
      <c r="I42" s="138">
        <f t="shared" si="10"/>
        <v>1555792.91</v>
      </c>
      <c r="J42" s="13"/>
      <c r="K42" s="160">
        <f t="shared" si="1"/>
        <v>1555792.91</v>
      </c>
      <c r="L42" s="118"/>
      <c r="M42" s="118"/>
      <c r="N42" s="547"/>
      <c r="O42" s="130"/>
      <c r="P42" s="463"/>
      <c r="Q42" s="469"/>
      <c r="X42" s="35"/>
      <c r="Y42" s="35"/>
      <c r="Z42" s="35"/>
      <c r="AA42" s="35"/>
    </row>
    <row r="43" spans="1:27" s="93" customFormat="1" ht="15">
      <c r="A43" s="125" t="s">
        <v>204</v>
      </c>
      <c r="B43" s="92" t="s">
        <v>90</v>
      </c>
      <c r="C43" s="4">
        <v>6801.7</v>
      </c>
      <c r="D43" s="4">
        <v>6694.44</v>
      </c>
      <c r="E43" s="4">
        <v>15105.97</v>
      </c>
      <c r="F43" s="4">
        <v>23082.38</v>
      </c>
      <c r="G43" s="4">
        <v>159335.76</v>
      </c>
      <c r="H43" s="4">
        <v>75970.78</v>
      </c>
      <c r="I43" s="138">
        <f t="shared" si="10"/>
        <v>286991.03</v>
      </c>
      <c r="J43" s="13"/>
      <c r="K43" s="160">
        <f t="shared" si="1"/>
        <v>286991.03</v>
      </c>
      <c r="L43" s="118"/>
      <c r="M43" s="118"/>
      <c r="N43" s="547"/>
      <c r="O43" s="130"/>
      <c r="P43" s="463"/>
      <c r="Q43" s="469"/>
      <c r="X43" s="35"/>
      <c r="Y43" s="35"/>
      <c r="Z43" s="35"/>
      <c r="AA43" s="35"/>
    </row>
    <row r="44" spans="1:27" s="93" customFormat="1" ht="15">
      <c r="A44" s="125" t="s">
        <v>205</v>
      </c>
      <c r="B44" s="92" t="s">
        <v>91</v>
      </c>
      <c r="C44" s="4">
        <v>1145.36</v>
      </c>
      <c r="D44" s="4">
        <v>616.01</v>
      </c>
      <c r="E44" s="4">
        <v>936.24</v>
      </c>
      <c r="F44" s="4">
        <v>2724.21</v>
      </c>
      <c r="G44" s="4">
        <v>41350.93</v>
      </c>
      <c r="H44" s="4">
        <v>13713.37</v>
      </c>
      <c r="I44" s="138">
        <f t="shared" si="10"/>
        <v>60486.12</v>
      </c>
      <c r="J44" s="13"/>
      <c r="K44" s="160">
        <f t="shared" si="1"/>
        <v>60486.12</v>
      </c>
      <c r="L44" s="118"/>
      <c r="M44" s="118"/>
      <c r="N44" s="547"/>
      <c r="O44" s="130"/>
      <c r="P44" s="463"/>
      <c r="Q44" s="469"/>
      <c r="X44" s="35"/>
      <c r="Y44" s="35"/>
      <c r="Z44" s="35"/>
      <c r="AA44" s="35"/>
    </row>
    <row r="45" spans="1:27" s="93" customFormat="1" ht="15">
      <c r="A45" s="125" t="s">
        <v>206</v>
      </c>
      <c r="B45" s="92" t="s">
        <v>92</v>
      </c>
      <c r="C45" s="4">
        <v>2357.35</v>
      </c>
      <c r="D45" s="4">
        <v>1854.16</v>
      </c>
      <c r="E45" s="4">
        <v>3964.26</v>
      </c>
      <c r="F45" s="4">
        <v>3506.04</v>
      </c>
      <c r="G45" s="4">
        <v>45899.51</v>
      </c>
      <c r="H45" s="4">
        <v>36886.01</v>
      </c>
      <c r="I45" s="138">
        <f t="shared" si="10"/>
        <v>94467.33000000002</v>
      </c>
      <c r="J45" s="13"/>
      <c r="K45" s="160">
        <f t="shared" si="1"/>
        <v>94467.33000000002</v>
      </c>
      <c r="L45" s="118"/>
      <c r="M45" s="118"/>
      <c r="N45" s="547"/>
      <c r="O45" s="130"/>
      <c r="P45" s="463"/>
      <c r="Q45" s="469"/>
      <c r="X45" s="35"/>
      <c r="Y45" s="35"/>
      <c r="Z45" s="35"/>
      <c r="AA45" s="35"/>
    </row>
    <row r="46" spans="1:27" s="93" customFormat="1" ht="15.75" thickBot="1">
      <c r="A46" s="126" t="s">
        <v>207</v>
      </c>
      <c r="B46" s="52" t="s">
        <v>93</v>
      </c>
      <c r="C46" s="46">
        <v>8721.88</v>
      </c>
      <c r="D46" s="46">
        <v>3296.39</v>
      </c>
      <c r="E46" s="46">
        <v>4039.21</v>
      </c>
      <c r="F46" s="46">
        <v>4357.87</v>
      </c>
      <c r="G46" s="46">
        <v>60680.91</v>
      </c>
      <c r="H46" s="46">
        <v>34941.49</v>
      </c>
      <c r="I46" s="161">
        <f t="shared" si="10"/>
        <v>116037.75</v>
      </c>
      <c r="J46" s="260">
        <v>85527</v>
      </c>
      <c r="K46" s="198">
        <f t="shared" si="1"/>
        <v>116037.75</v>
      </c>
      <c r="L46" s="195"/>
      <c r="M46" s="195"/>
      <c r="N46" s="551"/>
      <c r="O46" s="462"/>
      <c r="P46" s="467"/>
      <c r="Q46" s="475"/>
      <c r="X46" s="35"/>
      <c r="Y46" s="35"/>
      <c r="Z46" s="35"/>
      <c r="AA46" s="35"/>
    </row>
    <row r="47" spans="1:27" s="42" customFormat="1" ht="15.75" thickBot="1">
      <c r="A47" s="199"/>
      <c r="B47" s="200"/>
      <c r="C47" s="201"/>
      <c r="D47" s="201"/>
      <c r="E47" s="201"/>
      <c r="F47" s="201"/>
      <c r="G47" s="201"/>
      <c r="H47" s="201"/>
      <c r="I47" s="265"/>
      <c r="J47" s="200"/>
      <c r="K47" s="202"/>
      <c r="L47" s="12"/>
      <c r="M47" s="12"/>
      <c r="N47" s="12"/>
      <c r="O47" s="12"/>
      <c r="P47" s="12"/>
      <c r="Q47" s="12"/>
      <c r="R47" s="12"/>
      <c r="S47" s="12"/>
      <c r="T47" s="12"/>
      <c r="U47" s="49"/>
      <c r="X47" s="82"/>
      <c r="Y47" s="82"/>
      <c r="Z47" s="82"/>
      <c r="AA47" s="82"/>
    </row>
    <row r="48" spans="1:20" ht="17.25" customHeight="1">
      <c r="A48" s="1036" t="s">
        <v>797</v>
      </c>
      <c r="B48" s="1037"/>
      <c r="C48" s="1104" t="s">
        <v>35</v>
      </c>
      <c r="D48" s="1105"/>
      <c r="E48" s="1105"/>
      <c r="F48" s="1105"/>
      <c r="G48" s="1105"/>
      <c r="H48" s="1105"/>
      <c r="I48" s="1105"/>
      <c r="J48" s="1106"/>
      <c r="K48" s="1048" t="s">
        <v>295</v>
      </c>
      <c r="L48" s="1098" t="s">
        <v>0</v>
      </c>
      <c r="M48" s="1097"/>
      <c r="N48" s="1097"/>
      <c r="O48" s="1099"/>
      <c r="P48" s="370" t="s">
        <v>2</v>
      </c>
      <c r="Q48" s="1053" t="s">
        <v>329</v>
      </c>
      <c r="R48" s="57"/>
      <c r="S48" s="57"/>
      <c r="T48" s="57"/>
    </row>
    <row r="49" spans="1:27" s="42" customFormat="1" ht="60.75" thickBot="1">
      <c r="A49" s="1040"/>
      <c r="B49" s="1041"/>
      <c r="C49" s="152" t="s">
        <v>149</v>
      </c>
      <c r="D49" s="152" t="s">
        <v>150</v>
      </c>
      <c r="E49" s="152" t="s">
        <v>153</v>
      </c>
      <c r="F49" s="152" t="s">
        <v>151</v>
      </c>
      <c r="G49" s="152" t="s">
        <v>152</v>
      </c>
      <c r="H49" s="152" t="s">
        <v>32</v>
      </c>
      <c r="I49" s="354" t="s">
        <v>516</v>
      </c>
      <c r="J49" s="154" t="s">
        <v>229</v>
      </c>
      <c r="K49" s="1049"/>
      <c r="L49" s="353" t="s">
        <v>293</v>
      </c>
      <c r="M49" s="152" t="s">
        <v>291</v>
      </c>
      <c r="N49" s="739" t="s">
        <v>297</v>
      </c>
      <c r="O49" s="708" t="s">
        <v>495</v>
      </c>
      <c r="P49" s="371" t="s">
        <v>495</v>
      </c>
      <c r="Q49" s="1107"/>
      <c r="R49" s="57"/>
      <c r="S49" s="57"/>
      <c r="T49" s="57"/>
      <c r="U49" s="49"/>
      <c r="X49" s="82"/>
      <c r="Y49" s="82"/>
      <c r="Z49" s="82"/>
      <c r="AA49" s="82"/>
    </row>
    <row r="50" spans="1:46" s="169" customFormat="1" ht="15.75">
      <c r="A50" s="1062" t="s">
        <v>50</v>
      </c>
      <c r="B50" s="1063"/>
      <c r="C50" s="1063"/>
      <c r="D50" s="1063"/>
      <c r="E50" s="1063"/>
      <c r="F50" s="1063"/>
      <c r="G50" s="1063"/>
      <c r="H50" s="1063"/>
      <c r="I50" s="1063"/>
      <c r="J50" s="1063"/>
      <c r="K50" s="1063"/>
      <c r="L50" s="228"/>
      <c r="M50" s="183"/>
      <c r="N50" s="552"/>
      <c r="O50" s="184"/>
      <c r="P50" s="670"/>
      <c r="Q50" s="387"/>
      <c r="R50" s="185"/>
      <c r="S50" s="185"/>
      <c r="T50" s="185"/>
      <c r="U50" s="167"/>
      <c r="V50" s="167"/>
      <c r="W50" s="167"/>
      <c r="X50" s="185"/>
      <c r="Y50" s="185"/>
      <c r="Z50" s="185"/>
      <c r="AA50" s="185"/>
      <c r="AB50" s="167"/>
      <c r="AC50" s="167"/>
      <c r="AD50" s="167"/>
      <c r="AE50" s="167"/>
      <c r="AF50" s="167"/>
      <c r="AG50" s="167"/>
      <c r="AH50" s="167"/>
      <c r="AI50" s="167"/>
      <c r="AJ50" s="167"/>
      <c r="AK50" s="167"/>
      <c r="AL50" s="167"/>
      <c r="AM50" s="167"/>
      <c r="AN50" s="167"/>
      <c r="AO50" s="167"/>
      <c r="AP50" s="167"/>
      <c r="AQ50" s="167"/>
      <c r="AR50" s="167"/>
      <c r="AS50" s="167"/>
      <c r="AT50" s="167"/>
    </row>
    <row r="51" spans="1:20" ht="15">
      <c r="A51" s="71" t="s">
        <v>18</v>
      </c>
      <c r="B51" s="92" t="s">
        <v>209</v>
      </c>
      <c r="C51" s="4">
        <v>770.812746</v>
      </c>
      <c r="D51" s="4">
        <v>5281.64518</v>
      </c>
      <c r="E51" s="4">
        <v>5035.291115</v>
      </c>
      <c r="F51" s="4">
        <v>8177.386319999998</v>
      </c>
      <c r="G51" s="4">
        <v>2470.68039</v>
      </c>
      <c r="H51" s="4">
        <v>10674.16</v>
      </c>
      <c r="I51" s="132">
        <f>SUM(C51:G51)</f>
        <v>21735.815751</v>
      </c>
      <c r="J51" s="14"/>
      <c r="K51" s="298">
        <f>I51</f>
        <v>21735.815751</v>
      </c>
      <c r="L51" s="723">
        <f>L101*6</f>
        <v>40.104</v>
      </c>
      <c r="M51" s="92"/>
      <c r="N51" s="139"/>
      <c r="O51" s="23"/>
      <c r="P51" s="527">
        <f>P250/1000</f>
        <v>13717.0719</v>
      </c>
      <c r="Q51" s="99"/>
      <c r="R51" s="12"/>
      <c r="S51" s="12"/>
      <c r="T51" s="12"/>
    </row>
    <row r="52" spans="1:21" s="41" customFormat="1" ht="15">
      <c r="A52" s="77" t="s">
        <v>99</v>
      </c>
      <c r="B52" s="60" t="s">
        <v>515</v>
      </c>
      <c r="C52" s="38">
        <f>C51*0.8</f>
        <v>616.6501968</v>
      </c>
      <c r="D52" s="38">
        <f>D51*0.8</f>
        <v>4225.316144</v>
      </c>
      <c r="E52" s="38">
        <f>E51*0.8</f>
        <v>4028.232892</v>
      </c>
      <c r="F52" s="38">
        <f>F51*0.3</f>
        <v>2453.2158959999992</v>
      </c>
      <c r="G52" s="38">
        <f>G51*0.5</f>
        <v>1235.340195</v>
      </c>
      <c r="H52" s="38">
        <f>H51*0.6</f>
        <v>6404.496</v>
      </c>
      <c r="I52" s="249">
        <f aca="true" t="shared" si="11" ref="I52:I59">SUM(C52:G52)</f>
        <v>12558.755323800002</v>
      </c>
      <c r="J52" s="39"/>
      <c r="K52" s="720">
        <f aca="true" t="shared" si="12" ref="K52:K59">I52</f>
        <v>12558.755323800002</v>
      </c>
      <c r="L52" s="721"/>
      <c r="M52" s="37"/>
      <c r="N52" s="722"/>
      <c r="O52" s="657"/>
      <c r="P52" s="724"/>
      <c r="Q52" s="368"/>
      <c r="R52" s="84"/>
      <c r="S52" s="84"/>
      <c r="T52" s="84"/>
      <c r="U52" s="66"/>
    </row>
    <row r="53" spans="1:21" s="41" customFormat="1" ht="15">
      <c r="A53" s="77" t="s">
        <v>100</v>
      </c>
      <c r="B53" s="60" t="s">
        <v>210</v>
      </c>
      <c r="C53" s="38">
        <f aca="true" t="shared" si="13" ref="C53:H53">C51-C52</f>
        <v>154.16254919999994</v>
      </c>
      <c r="D53" s="38">
        <f t="shared" si="13"/>
        <v>1056.329036</v>
      </c>
      <c r="E53" s="38">
        <f t="shared" si="13"/>
        <v>1007.058223</v>
      </c>
      <c r="F53" s="38">
        <f t="shared" si="13"/>
        <v>5724.170423999998</v>
      </c>
      <c r="G53" s="38">
        <f t="shared" si="13"/>
        <v>1235.340195</v>
      </c>
      <c r="H53" s="38">
        <f t="shared" si="13"/>
        <v>4269.664</v>
      </c>
      <c r="I53" s="249">
        <f t="shared" si="11"/>
        <v>9177.060427199998</v>
      </c>
      <c r="J53" s="39"/>
      <c r="K53" s="720">
        <f t="shared" si="12"/>
        <v>9177.060427199998</v>
      </c>
      <c r="L53" s="721"/>
      <c r="M53" s="37"/>
      <c r="N53" s="722"/>
      <c r="O53" s="657"/>
      <c r="P53" s="658"/>
      <c r="Q53" s="368"/>
      <c r="R53" s="84"/>
      <c r="S53" s="84"/>
      <c r="T53" s="84"/>
      <c r="U53" s="66"/>
    </row>
    <row r="54" spans="1:46" ht="15">
      <c r="A54" s="71" t="s">
        <v>19</v>
      </c>
      <c r="B54" s="92" t="s">
        <v>356</v>
      </c>
      <c r="C54" s="4">
        <f aca="true" t="shared" si="14" ref="C54:H54">C51+C57</f>
        <v>864.3127459999998</v>
      </c>
      <c r="D54" s="4">
        <f t="shared" si="14"/>
        <v>5329.14518</v>
      </c>
      <c r="E54" s="4">
        <f t="shared" si="14"/>
        <v>5597.291115</v>
      </c>
      <c r="F54" s="4">
        <f t="shared" si="14"/>
        <v>9167.386319999998</v>
      </c>
      <c r="G54" s="4">
        <f t="shared" si="14"/>
        <v>2554.68039</v>
      </c>
      <c r="H54" s="4">
        <f t="shared" si="14"/>
        <v>10934.16</v>
      </c>
      <c r="I54" s="132">
        <f t="shared" si="11"/>
        <v>23512.815751</v>
      </c>
      <c r="J54" s="14"/>
      <c r="K54" s="298">
        <f t="shared" si="12"/>
        <v>23512.815751</v>
      </c>
      <c r="L54" s="723">
        <f>L102*5.5</f>
        <v>24.947999999999997</v>
      </c>
      <c r="M54" s="92"/>
      <c r="N54" s="139"/>
      <c r="O54" s="23"/>
      <c r="P54" s="527">
        <f>P251/1000</f>
        <v>12509.9695728</v>
      </c>
      <c r="Q54" s="99"/>
      <c r="R54" s="12"/>
      <c r="S54" s="12"/>
      <c r="T54" s="12"/>
      <c r="U54" s="12"/>
      <c r="V54" s="12"/>
      <c r="W54" s="12"/>
      <c r="X54" s="81"/>
      <c r="Y54" s="81"/>
      <c r="Z54" s="81"/>
      <c r="AA54" s="81"/>
      <c r="AB54" s="12"/>
      <c r="AC54" s="12"/>
      <c r="AD54" s="12"/>
      <c r="AE54" s="12"/>
      <c r="AF54" s="12"/>
      <c r="AG54" s="12"/>
      <c r="AH54" s="12"/>
      <c r="AI54" s="12"/>
      <c r="AJ54" s="12"/>
      <c r="AK54" s="12"/>
      <c r="AL54" s="12"/>
      <c r="AM54" s="12"/>
      <c r="AN54" s="12"/>
      <c r="AO54" s="12"/>
      <c r="AP54" s="12"/>
      <c r="AQ54" s="12"/>
      <c r="AR54" s="12"/>
      <c r="AS54" s="12"/>
      <c r="AT54" s="12"/>
    </row>
    <row r="55" spans="1:46" s="93" customFormat="1" ht="15">
      <c r="A55" s="77" t="s">
        <v>101</v>
      </c>
      <c r="B55" s="60" t="s">
        <v>357</v>
      </c>
      <c r="C55" s="4">
        <f aca="true" t="shared" si="15" ref="C55:H55">C54-C56</f>
        <v>579.50081442</v>
      </c>
      <c r="D55" s="4">
        <f t="shared" si="15"/>
        <v>4059.7417886000003</v>
      </c>
      <c r="E55" s="4">
        <f t="shared" si="15"/>
        <v>3949.77998085</v>
      </c>
      <c r="F55" s="4">
        <f t="shared" si="15"/>
        <v>2453.2158959999997</v>
      </c>
      <c r="G55" s="4">
        <f t="shared" si="15"/>
        <v>1235.340195</v>
      </c>
      <c r="H55" s="4">
        <f t="shared" si="15"/>
        <v>5725.0464</v>
      </c>
      <c r="I55" s="132">
        <f t="shared" si="11"/>
        <v>12277.578674870001</v>
      </c>
      <c r="J55" s="14"/>
      <c r="K55" s="298">
        <f t="shared" si="12"/>
        <v>12277.578674870001</v>
      </c>
      <c r="L55" s="350"/>
      <c r="M55" s="118"/>
      <c r="N55" s="547"/>
      <c r="O55" s="23"/>
      <c r="P55" s="526"/>
      <c r="Q55" s="99"/>
      <c r="R55" s="12"/>
      <c r="S55" s="12"/>
      <c r="T55" s="12"/>
      <c r="U55" s="12"/>
      <c r="V55" s="12"/>
      <c r="W55" s="12"/>
      <c r="X55" s="81"/>
      <c r="Y55" s="81"/>
      <c r="Z55" s="81"/>
      <c r="AA55" s="81"/>
      <c r="AB55" s="12"/>
      <c r="AC55" s="12"/>
      <c r="AD55" s="12"/>
      <c r="AE55" s="12"/>
      <c r="AF55" s="12"/>
      <c r="AG55" s="12"/>
      <c r="AH55" s="12"/>
      <c r="AI55" s="12"/>
      <c r="AJ55" s="12"/>
      <c r="AK55" s="12"/>
      <c r="AL55" s="12"/>
      <c r="AM55" s="12"/>
      <c r="AN55" s="12"/>
      <c r="AO55" s="12"/>
      <c r="AP55" s="12"/>
      <c r="AQ55" s="12"/>
      <c r="AR55" s="12"/>
      <c r="AS55" s="12"/>
      <c r="AT55" s="12"/>
    </row>
    <row r="56" spans="1:46" s="93" customFormat="1" ht="15">
      <c r="A56" s="77" t="s">
        <v>102</v>
      </c>
      <c r="B56" s="60" t="s">
        <v>358</v>
      </c>
      <c r="C56" s="4">
        <f>(C53+C57)*1.15</f>
        <v>284.81193157999985</v>
      </c>
      <c r="D56" s="4">
        <f>(D53+D57)*1.15</f>
        <v>1269.4033914</v>
      </c>
      <c r="E56" s="4">
        <f>(E53+E57)*1.05</f>
        <v>1647.51113415</v>
      </c>
      <c r="F56" s="4">
        <f>F53+F57</f>
        <v>6714.170423999998</v>
      </c>
      <c r="G56" s="4">
        <f>G53+G57</f>
        <v>1319.340195</v>
      </c>
      <c r="H56" s="4">
        <f>(H53+H57)*1.15</f>
        <v>5209.1136</v>
      </c>
      <c r="I56" s="132">
        <f t="shared" si="11"/>
        <v>11235.237076129999</v>
      </c>
      <c r="J56" s="14"/>
      <c r="K56" s="298">
        <f t="shared" si="12"/>
        <v>11235.237076129999</v>
      </c>
      <c r="L56" s="350"/>
      <c r="M56" s="118"/>
      <c r="N56" s="547"/>
      <c r="O56" s="23"/>
      <c r="P56" s="526"/>
      <c r="Q56" s="99"/>
      <c r="R56" s="12"/>
      <c r="S56" s="12"/>
      <c r="T56" s="12"/>
      <c r="U56" s="12"/>
      <c r="V56" s="12"/>
      <c r="W56" s="12"/>
      <c r="X56" s="81"/>
      <c r="Y56" s="81"/>
      <c r="Z56" s="81"/>
      <c r="AA56" s="81"/>
      <c r="AB56" s="12"/>
      <c r="AC56" s="12"/>
      <c r="AD56" s="12"/>
      <c r="AE56" s="12"/>
      <c r="AF56" s="12"/>
      <c r="AG56" s="12"/>
      <c r="AH56" s="12"/>
      <c r="AI56" s="12"/>
      <c r="AJ56" s="12"/>
      <c r="AK56" s="12"/>
      <c r="AL56" s="12"/>
      <c r="AM56" s="12"/>
      <c r="AN56" s="12"/>
      <c r="AO56" s="12"/>
      <c r="AP56" s="12"/>
      <c r="AQ56" s="12"/>
      <c r="AR56" s="12"/>
      <c r="AS56" s="12"/>
      <c r="AT56" s="12"/>
    </row>
    <row r="57" spans="1:46" ht="15">
      <c r="A57" s="71" t="s">
        <v>20</v>
      </c>
      <c r="B57" s="92" t="s">
        <v>359</v>
      </c>
      <c r="C57" s="4">
        <f aca="true" t="shared" si="16" ref="C57:H57">C86*10</f>
        <v>93.49999999999994</v>
      </c>
      <c r="D57" s="4">
        <f t="shared" si="16"/>
        <v>47.5</v>
      </c>
      <c r="E57" s="4">
        <f t="shared" si="16"/>
        <v>561.9999999999999</v>
      </c>
      <c r="F57" s="4">
        <f t="shared" si="16"/>
        <v>990</v>
      </c>
      <c r="G57" s="4">
        <f t="shared" si="16"/>
        <v>84.00000000000006</v>
      </c>
      <c r="H57" s="4">
        <f t="shared" si="16"/>
        <v>260</v>
      </c>
      <c r="I57" s="132">
        <f t="shared" si="11"/>
        <v>1776.9999999999998</v>
      </c>
      <c r="J57" s="14"/>
      <c r="K57" s="298">
        <f t="shared" si="12"/>
        <v>1776.9999999999998</v>
      </c>
      <c r="L57" s="341">
        <f>L54-L51</f>
        <v>-15.156000000000002</v>
      </c>
      <c r="M57" s="171"/>
      <c r="N57" s="553"/>
      <c r="O57" s="24"/>
      <c r="P57" s="526">
        <f>P54-P51</f>
        <v>-1207.1023272000002</v>
      </c>
      <c r="Q57" s="99"/>
      <c r="R57" s="12"/>
      <c r="S57" s="12"/>
      <c r="T57" s="12"/>
      <c r="U57" s="12"/>
      <c r="V57" s="12"/>
      <c r="W57" s="12"/>
      <c r="X57" s="81"/>
      <c r="Y57" s="81"/>
      <c r="Z57" s="81"/>
      <c r="AA57" s="81"/>
      <c r="AB57" s="12"/>
      <c r="AC57" s="12"/>
      <c r="AD57" s="12"/>
      <c r="AE57" s="12"/>
      <c r="AF57" s="12"/>
      <c r="AG57" s="12"/>
      <c r="AH57" s="12"/>
      <c r="AI57" s="12"/>
      <c r="AJ57" s="12"/>
      <c r="AK57" s="12"/>
      <c r="AL57" s="12"/>
      <c r="AM57" s="12"/>
      <c r="AN57" s="12"/>
      <c r="AO57" s="12"/>
      <c r="AP57" s="12"/>
      <c r="AQ57" s="12"/>
      <c r="AR57" s="12"/>
      <c r="AS57" s="12"/>
      <c r="AT57" s="12"/>
    </row>
    <row r="58" spans="1:46" s="93" customFormat="1" ht="15">
      <c r="A58" s="77" t="s">
        <v>86</v>
      </c>
      <c r="B58" s="60" t="s">
        <v>360</v>
      </c>
      <c r="C58" s="4">
        <f aca="true" t="shared" si="17" ref="C58:H59">C55-C52</f>
        <v>-37.14938238000002</v>
      </c>
      <c r="D58" s="4">
        <f t="shared" si="17"/>
        <v>-165.57435540000006</v>
      </c>
      <c r="E58" s="17">
        <f t="shared" si="17"/>
        <v>-78.45291115000009</v>
      </c>
      <c r="F58" s="4">
        <f t="shared" si="17"/>
        <v>0</v>
      </c>
      <c r="G58" s="4">
        <f t="shared" si="17"/>
        <v>0</v>
      </c>
      <c r="H58" s="4">
        <f t="shared" si="17"/>
        <v>-679.4495999999999</v>
      </c>
      <c r="I58" s="132">
        <f t="shared" si="11"/>
        <v>-281.17664893000017</v>
      </c>
      <c r="J58" s="14"/>
      <c r="K58" s="298">
        <f t="shared" si="12"/>
        <v>-281.17664893000017</v>
      </c>
      <c r="L58" s="232"/>
      <c r="M58" s="171"/>
      <c r="N58" s="553"/>
      <c r="O58" s="24"/>
      <c r="P58" s="527"/>
      <c r="Q58" s="99"/>
      <c r="R58" s="12"/>
      <c r="S58" s="12"/>
      <c r="T58" s="12"/>
      <c r="U58" s="12"/>
      <c r="V58" s="12"/>
      <c r="W58" s="12"/>
      <c r="X58" s="81"/>
      <c r="Y58" s="81"/>
      <c r="Z58" s="81"/>
      <c r="AA58" s="81"/>
      <c r="AB58" s="12"/>
      <c r="AC58" s="12"/>
      <c r="AD58" s="12"/>
      <c r="AE58" s="12"/>
      <c r="AF58" s="12"/>
      <c r="AG58" s="12"/>
      <c r="AH58" s="12"/>
      <c r="AI58" s="12"/>
      <c r="AJ58" s="12"/>
      <c r="AK58" s="12"/>
      <c r="AL58" s="12"/>
      <c r="AM58" s="12"/>
      <c r="AN58" s="12"/>
      <c r="AO58" s="12"/>
      <c r="AP58" s="12"/>
      <c r="AQ58" s="12"/>
      <c r="AR58" s="12"/>
      <c r="AS58" s="12"/>
      <c r="AT58" s="12"/>
    </row>
    <row r="59" spans="1:46" s="93" customFormat="1" ht="15">
      <c r="A59" s="77" t="s">
        <v>87</v>
      </c>
      <c r="B59" s="60" t="s">
        <v>361</v>
      </c>
      <c r="C59" s="4">
        <f t="shared" si="17"/>
        <v>130.6493823799999</v>
      </c>
      <c r="D59" s="4">
        <f t="shared" si="17"/>
        <v>213.07435539999983</v>
      </c>
      <c r="E59" s="4">
        <f t="shared" si="17"/>
        <v>640.4529111500001</v>
      </c>
      <c r="F59" s="4">
        <f t="shared" si="17"/>
        <v>990</v>
      </c>
      <c r="G59" s="4">
        <f t="shared" si="17"/>
        <v>84</v>
      </c>
      <c r="H59" s="4">
        <f t="shared" si="17"/>
        <v>939.4495999999999</v>
      </c>
      <c r="I59" s="132">
        <f t="shared" si="11"/>
        <v>2058.17664893</v>
      </c>
      <c r="J59" s="14"/>
      <c r="K59" s="298">
        <f t="shared" si="12"/>
        <v>2058.17664893</v>
      </c>
      <c r="L59" s="232"/>
      <c r="M59" s="171"/>
      <c r="N59" s="553"/>
      <c r="O59" s="24"/>
      <c r="P59" s="527"/>
      <c r="Q59" s="99"/>
      <c r="R59" s="12"/>
      <c r="S59" s="12"/>
      <c r="T59" s="12"/>
      <c r="U59" s="12"/>
      <c r="V59" s="12"/>
      <c r="W59" s="12"/>
      <c r="X59" s="81"/>
      <c r="Y59" s="81"/>
      <c r="Z59" s="81"/>
      <c r="AA59" s="81"/>
      <c r="AB59" s="12"/>
      <c r="AC59" s="12"/>
      <c r="AD59" s="12"/>
      <c r="AE59" s="12"/>
      <c r="AF59" s="12"/>
      <c r="AG59" s="12"/>
      <c r="AH59" s="12"/>
      <c r="AI59" s="12"/>
      <c r="AJ59" s="12"/>
      <c r="AK59" s="12"/>
      <c r="AL59" s="12"/>
      <c r="AM59" s="12"/>
      <c r="AN59" s="12"/>
      <c r="AO59" s="12"/>
      <c r="AP59" s="12"/>
      <c r="AQ59" s="12"/>
      <c r="AR59" s="12"/>
      <c r="AS59" s="12"/>
      <c r="AT59" s="12"/>
    </row>
    <row r="60" spans="1:46" ht="15.75" thickBot="1">
      <c r="A60" s="77" t="s">
        <v>690</v>
      </c>
      <c r="B60" s="52" t="s">
        <v>85</v>
      </c>
      <c r="C60" s="173">
        <f aca="true" t="shared" si="18" ref="C60:I60">C57/C51/10%</f>
        <v>1.2130053697892529</v>
      </c>
      <c r="D60" s="173">
        <f t="shared" si="18"/>
        <v>0.08993409890514455</v>
      </c>
      <c r="E60" s="173">
        <f t="shared" si="18"/>
        <v>1.1161221608931737</v>
      </c>
      <c r="F60" s="173">
        <f t="shared" si="18"/>
        <v>1.2106557783367635</v>
      </c>
      <c r="G60" s="173">
        <f t="shared" si="18"/>
        <v>0.33998731823018213</v>
      </c>
      <c r="H60" s="173">
        <f t="shared" si="18"/>
        <v>0.2435788858327025</v>
      </c>
      <c r="I60" s="266">
        <f t="shared" si="18"/>
        <v>0.8175446554925114</v>
      </c>
      <c r="J60" s="47"/>
      <c r="K60" s="349">
        <f>I60</f>
        <v>0.8175446554925114</v>
      </c>
      <c r="L60" s="351">
        <f>L57/L51/10%</f>
        <v>-3.7791741472172355</v>
      </c>
      <c r="M60" s="352"/>
      <c r="N60" s="554"/>
      <c r="O60" s="525"/>
      <c r="P60" s="709">
        <f>P57/P51/10%</f>
        <v>-0.88</v>
      </c>
      <c r="Q60" s="515"/>
      <c r="R60" s="12"/>
      <c r="S60" s="12"/>
      <c r="T60" s="12"/>
      <c r="U60" s="12"/>
      <c r="V60" s="12"/>
      <c r="W60" s="12"/>
      <c r="X60" s="81"/>
      <c r="Y60" s="81"/>
      <c r="Z60" s="81"/>
      <c r="AA60" s="81"/>
      <c r="AB60" s="12"/>
      <c r="AC60" s="12"/>
      <c r="AD60" s="12"/>
      <c r="AE60" s="12"/>
      <c r="AF60" s="12"/>
      <c r="AG60" s="12"/>
      <c r="AH60" s="12"/>
      <c r="AI60" s="12"/>
      <c r="AJ60" s="12"/>
      <c r="AK60" s="12"/>
      <c r="AL60" s="12"/>
      <c r="AM60" s="12"/>
      <c r="AN60" s="12"/>
      <c r="AO60" s="12"/>
      <c r="AP60" s="12"/>
      <c r="AQ60" s="12"/>
      <c r="AR60" s="12"/>
      <c r="AS60" s="12"/>
      <c r="AT60" s="12"/>
    </row>
    <row r="61" spans="1:46" s="169" customFormat="1" ht="15.75">
      <c r="A61" s="1062" t="s">
        <v>125</v>
      </c>
      <c r="B61" s="1063"/>
      <c r="C61" s="1063"/>
      <c r="D61" s="1063"/>
      <c r="E61" s="1063"/>
      <c r="F61" s="1063"/>
      <c r="G61" s="1063"/>
      <c r="H61" s="1063"/>
      <c r="I61" s="1063"/>
      <c r="J61" s="1063"/>
      <c r="K61" s="1064"/>
      <c r="L61" s="481"/>
      <c r="M61" s="482"/>
      <c r="N61" s="482"/>
      <c r="O61" s="256"/>
      <c r="P61" s="536"/>
      <c r="Q61" s="483"/>
      <c r="R61" s="185"/>
      <c r="S61" s="185"/>
      <c r="T61" s="185"/>
      <c r="U61" s="167"/>
      <c r="V61" s="167"/>
      <c r="W61" s="167"/>
      <c r="X61" s="185"/>
      <c r="Y61" s="185"/>
      <c r="Z61" s="185"/>
      <c r="AA61" s="185"/>
      <c r="AB61" s="167"/>
      <c r="AC61" s="167"/>
      <c r="AD61" s="167"/>
      <c r="AE61" s="167"/>
      <c r="AF61" s="167"/>
      <c r="AG61" s="167"/>
      <c r="AH61" s="167"/>
      <c r="AI61" s="167"/>
      <c r="AJ61" s="167"/>
      <c r="AK61" s="167"/>
      <c r="AL61" s="167"/>
      <c r="AM61" s="167"/>
      <c r="AN61" s="167"/>
      <c r="AO61" s="167"/>
      <c r="AP61" s="167"/>
      <c r="AQ61" s="167"/>
      <c r="AR61" s="167"/>
      <c r="AS61" s="167"/>
      <c r="AT61" s="167"/>
    </row>
    <row r="62" spans="1:46" s="35" customFormat="1" ht="15">
      <c r="A62" s="988" t="s">
        <v>73</v>
      </c>
      <c r="B62" s="987" t="s">
        <v>211</v>
      </c>
      <c r="C62" s="106">
        <f>C63+C64</f>
        <v>278.88</v>
      </c>
      <c r="D62" s="106">
        <f aca="true" t="shared" si="19" ref="D62:I62">D63+D64</f>
        <v>1024.8000000000002</v>
      </c>
      <c r="E62" s="106">
        <f t="shared" si="19"/>
        <v>1142.4</v>
      </c>
      <c r="F62" s="106">
        <f t="shared" si="19"/>
        <v>1512</v>
      </c>
      <c r="G62" s="106">
        <f t="shared" si="19"/>
        <v>336</v>
      </c>
      <c r="H62" s="106">
        <f t="shared" si="19"/>
        <v>1075.2</v>
      </c>
      <c r="I62" s="267">
        <f t="shared" si="19"/>
        <v>5369.280000000001</v>
      </c>
      <c r="J62" s="145"/>
      <c r="K62" s="172">
        <f>I62</f>
        <v>5369.280000000001</v>
      </c>
      <c r="L62" s="436"/>
      <c r="M62" s="174"/>
      <c r="N62" s="553"/>
      <c r="O62" s="359"/>
      <c r="P62" s="543"/>
      <c r="Q62" s="373"/>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row>
    <row r="63" spans="1:17" ht="18">
      <c r="A63" s="988" t="s">
        <v>74</v>
      </c>
      <c r="B63" s="112" t="s">
        <v>744</v>
      </c>
      <c r="C63" s="4">
        <f>C64*1.1</f>
        <v>146.08</v>
      </c>
      <c r="D63" s="4">
        <f aca="true" t="shared" si="20" ref="D63:I63">D64*1.1</f>
        <v>536.8000000000001</v>
      </c>
      <c r="E63" s="4">
        <f t="shared" si="20"/>
        <v>598.4000000000001</v>
      </c>
      <c r="F63" s="4">
        <f t="shared" si="20"/>
        <v>792.0000000000001</v>
      </c>
      <c r="G63" s="4">
        <f t="shared" si="20"/>
        <v>176</v>
      </c>
      <c r="H63" s="4">
        <f t="shared" si="20"/>
        <v>563.2</v>
      </c>
      <c r="I63" s="132">
        <f t="shared" si="20"/>
        <v>2812.4800000000005</v>
      </c>
      <c r="J63" s="13"/>
      <c r="K63" s="172">
        <f aca="true" t="shared" si="21" ref="K63:K87">I63</f>
        <v>2812.4800000000005</v>
      </c>
      <c r="L63" s="350"/>
      <c r="M63" s="118"/>
      <c r="N63" s="547"/>
      <c r="O63" s="130"/>
      <c r="P63" s="526">
        <f>-K63</f>
        <v>-2812.4800000000005</v>
      </c>
      <c r="Q63" s="99"/>
    </row>
    <row r="64" spans="1:46" ht="15">
      <c r="A64" s="988" t="s">
        <v>75</v>
      </c>
      <c r="B64" s="31" t="s">
        <v>212</v>
      </c>
      <c r="C64" s="4">
        <f>C65+C66</f>
        <v>132.8</v>
      </c>
      <c r="D64" s="4">
        <f aca="true" t="shared" si="22" ref="D64:I64">D65+D66</f>
        <v>488</v>
      </c>
      <c r="E64" s="4">
        <f t="shared" si="22"/>
        <v>544</v>
      </c>
      <c r="F64" s="4">
        <f t="shared" si="22"/>
        <v>720</v>
      </c>
      <c r="G64" s="4">
        <f t="shared" si="22"/>
        <v>160</v>
      </c>
      <c r="H64" s="4">
        <f t="shared" si="22"/>
        <v>512</v>
      </c>
      <c r="I64" s="132">
        <f t="shared" si="22"/>
        <v>2556.8</v>
      </c>
      <c r="J64" s="16"/>
      <c r="K64" s="172">
        <f t="shared" si="21"/>
        <v>2556.8</v>
      </c>
      <c r="L64" s="476"/>
      <c r="M64" s="175"/>
      <c r="N64" s="555"/>
      <c r="O64" s="30"/>
      <c r="P64" s="526"/>
      <c r="Q64" s="99"/>
      <c r="R64" s="7"/>
      <c r="S64" s="97"/>
      <c r="T64" s="21"/>
      <c r="U64" s="97"/>
      <c r="V64" s="12"/>
      <c r="W64" s="12"/>
      <c r="X64" s="81"/>
      <c r="Y64" s="81"/>
      <c r="Z64" s="81"/>
      <c r="AA64" s="81"/>
      <c r="AB64" s="12"/>
      <c r="AC64" s="12"/>
      <c r="AD64" s="12"/>
      <c r="AE64" s="12"/>
      <c r="AF64" s="12"/>
      <c r="AG64" s="12"/>
      <c r="AH64" s="12"/>
      <c r="AI64" s="12"/>
      <c r="AJ64" s="12"/>
      <c r="AK64" s="12"/>
      <c r="AL64" s="12"/>
      <c r="AM64" s="12"/>
      <c r="AN64" s="12"/>
      <c r="AO64" s="12"/>
      <c r="AP64" s="12"/>
      <c r="AQ64" s="12"/>
      <c r="AR64" s="12"/>
      <c r="AS64" s="12"/>
      <c r="AT64" s="12"/>
    </row>
    <row r="65" spans="1:46" ht="18">
      <c r="A65" s="988" t="s">
        <v>76</v>
      </c>
      <c r="B65" s="112" t="s">
        <v>745</v>
      </c>
      <c r="C65" s="33">
        <f aca="true" t="shared" si="23" ref="C65:H65">C66*0.6</f>
        <v>49.8</v>
      </c>
      <c r="D65" s="33">
        <f t="shared" si="23"/>
        <v>183</v>
      </c>
      <c r="E65" s="33">
        <f t="shared" si="23"/>
        <v>204</v>
      </c>
      <c r="F65" s="33">
        <f t="shared" si="23"/>
        <v>270</v>
      </c>
      <c r="G65" s="33">
        <f t="shared" si="23"/>
        <v>60</v>
      </c>
      <c r="H65" s="33">
        <f t="shared" si="23"/>
        <v>192</v>
      </c>
      <c r="I65" s="137">
        <f>SUM(C65:H65)</f>
        <v>958.8</v>
      </c>
      <c r="J65" s="16"/>
      <c r="K65" s="172">
        <f t="shared" si="21"/>
        <v>958.8</v>
      </c>
      <c r="L65" s="476"/>
      <c r="M65" s="175"/>
      <c r="N65" s="555"/>
      <c r="O65" s="30"/>
      <c r="P65" s="526">
        <f>-K65</f>
        <v>-958.8</v>
      </c>
      <c r="Q65" s="99"/>
      <c r="R65" s="7"/>
      <c r="S65" s="97"/>
      <c r="T65" s="21"/>
      <c r="U65" s="97"/>
      <c r="V65" s="12"/>
      <c r="W65" s="12"/>
      <c r="X65" s="81"/>
      <c r="Y65" s="81"/>
      <c r="Z65" s="81"/>
      <c r="AA65" s="81"/>
      <c r="AB65" s="12"/>
      <c r="AC65" s="12"/>
      <c r="AD65" s="12"/>
      <c r="AE65" s="12"/>
      <c r="AF65" s="12"/>
      <c r="AG65" s="12"/>
      <c r="AH65" s="12"/>
      <c r="AI65" s="12"/>
      <c r="AJ65" s="12"/>
      <c r="AK65" s="12"/>
      <c r="AL65" s="12"/>
      <c r="AM65" s="12"/>
      <c r="AN65" s="12"/>
      <c r="AO65" s="12"/>
      <c r="AP65" s="12"/>
      <c r="AQ65" s="12"/>
      <c r="AR65" s="12"/>
      <c r="AS65" s="12"/>
      <c r="AT65" s="12"/>
    </row>
    <row r="66" spans="1:27" s="32" customFormat="1" ht="15">
      <c r="A66" s="988" t="s">
        <v>77</v>
      </c>
      <c r="B66" s="31" t="s">
        <v>213</v>
      </c>
      <c r="C66" s="107">
        <v>83</v>
      </c>
      <c r="D66" s="107">
        <v>305</v>
      </c>
      <c r="E66" s="107">
        <v>340</v>
      </c>
      <c r="F66" s="107">
        <v>450</v>
      </c>
      <c r="G66" s="107">
        <v>100</v>
      </c>
      <c r="H66" s="107">
        <v>320</v>
      </c>
      <c r="I66" s="137">
        <f>SUM(C66:H66)</f>
        <v>1598</v>
      </c>
      <c r="J66" s="87"/>
      <c r="K66" s="172">
        <f t="shared" si="21"/>
        <v>1598</v>
      </c>
      <c r="L66" s="477">
        <v>12</v>
      </c>
      <c r="M66" s="157">
        <v>8</v>
      </c>
      <c r="N66" s="556"/>
      <c r="O66" s="406"/>
      <c r="P66" s="526"/>
      <c r="Q66" s="374"/>
      <c r="R66" s="83"/>
      <c r="S66" s="83"/>
      <c r="T66" s="83"/>
      <c r="U66" s="83"/>
      <c r="X66" s="35"/>
      <c r="Y66" s="35"/>
      <c r="Z66" s="35"/>
      <c r="AA66" s="35"/>
    </row>
    <row r="67" spans="1:27" s="32" customFormat="1" ht="15">
      <c r="A67" s="988" t="s">
        <v>746</v>
      </c>
      <c r="B67" s="31" t="s">
        <v>747</v>
      </c>
      <c r="C67" s="107">
        <f aca="true" t="shared" si="24" ref="C67:H67">SUM(C68:C69)</f>
        <v>5.15</v>
      </c>
      <c r="D67" s="107">
        <f t="shared" si="24"/>
        <v>20.25</v>
      </c>
      <c r="E67" s="107">
        <f t="shared" si="24"/>
        <v>19</v>
      </c>
      <c r="F67" s="107">
        <f t="shared" si="24"/>
        <v>42.5</v>
      </c>
      <c r="G67" s="107">
        <f t="shared" si="24"/>
        <v>9</v>
      </c>
      <c r="H67" s="107">
        <f t="shared" si="24"/>
        <v>26</v>
      </c>
      <c r="I67" s="137">
        <f>SUM(C67:H67)</f>
        <v>121.9</v>
      </c>
      <c r="J67" s="87"/>
      <c r="K67" s="172"/>
      <c r="L67" s="477"/>
      <c r="M67" s="157"/>
      <c r="N67" s="556"/>
      <c r="O67" s="406"/>
      <c r="P67" s="526"/>
      <c r="Q67" s="374"/>
      <c r="R67" s="83"/>
      <c r="S67" s="83"/>
      <c r="T67" s="83"/>
      <c r="U67" s="83"/>
      <c r="X67" s="35"/>
      <c r="Y67" s="35"/>
      <c r="Z67" s="35"/>
      <c r="AA67" s="35"/>
    </row>
    <row r="68" spans="1:46" ht="15">
      <c r="A68" s="78" t="s">
        <v>748</v>
      </c>
      <c r="B68" s="19" t="s">
        <v>133</v>
      </c>
      <c r="C68" s="33">
        <f>C66*0.05</f>
        <v>4.15</v>
      </c>
      <c r="D68" s="33">
        <f aca="true" t="shared" si="25" ref="D68:I68">D66*0.05</f>
        <v>15.25</v>
      </c>
      <c r="E68" s="33">
        <f t="shared" si="25"/>
        <v>17</v>
      </c>
      <c r="F68" s="33">
        <f t="shared" si="25"/>
        <v>22.5</v>
      </c>
      <c r="G68" s="33">
        <f t="shared" si="25"/>
        <v>5</v>
      </c>
      <c r="H68" s="33">
        <f t="shared" si="25"/>
        <v>16</v>
      </c>
      <c r="I68" s="137">
        <f t="shared" si="25"/>
        <v>79.9</v>
      </c>
      <c r="J68" s="16"/>
      <c r="K68" s="172">
        <f t="shared" si="21"/>
        <v>79.9</v>
      </c>
      <c r="L68" s="476"/>
      <c r="M68" s="175"/>
      <c r="N68" s="555"/>
      <c r="O68" s="30"/>
      <c r="P68" s="526"/>
      <c r="Q68" s="99"/>
      <c r="R68" s="7"/>
      <c r="S68" s="97"/>
      <c r="T68" s="21"/>
      <c r="U68" s="97"/>
      <c r="V68" s="12"/>
      <c r="W68" s="12"/>
      <c r="X68" s="81"/>
      <c r="Y68" s="81"/>
      <c r="Z68" s="81"/>
      <c r="AA68" s="81"/>
      <c r="AB68" s="12"/>
      <c r="AC68" s="12"/>
      <c r="AD68" s="12"/>
      <c r="AE68" s="12"/>
      <c r="AF68" s="12"/>
      <c r="AG68" s="12"/>
      <c r="AH68" s="12"/>
      <c r="AI68" s="12"/>
      <c r="AJ68" s="12"/>
      <c r="AK68" s="12"/>
      <c r="AL68" s="12"/>
      <c r="AM68" s="12"/>
      <c r="AN68" s="12"/>
      <c r="AO68" s="12"/>
      <c r="AP68" s="12"/>
      <c r="AQ68" s="12"/>
      <c r="AR68" s="12"/>
      <c r="AS68" s="12"/>
      <c r="AT68" s="12"/>
    </row>
    <row r="69" spans="1:46" s="93" customFormat="1" ht="15">
      <c r="A69" s="78" t="s">
        <v>749</v>
      </c>
      <c r="B69" s="19" t="s">
        <v>134</v>
      </c>
      <c r="C69" s="33">
        <v>1</v>
      </c>
      <c r="D69" s="33">
        <v>5</v>
      </c>
      <c r="E69" s="33">
        <v>2</v>
      </c>
      <c r="F69" s="33">
        <v>20</v>
      </c>
      <c r="G69" s="33">
        <v>4</v>
      </c>
      <c r="H69" s="33">
        <v>10</v>
      </c>
      <c r="I69" s="137">
        <f>SUM(C69:H69)</f>
        <v>42</v>
      </c>
      <c r="J69" s="16"/>
      <c r="K69" s="172">
        <f t="shared" si="21"/>
        <v>42</v>
      </c>
      <c r="L69" s="476"/>
      <c r="M69" s="175"/>
      <c r="N69" s="555"/>
      <c r="O69" s="30"/>
      <c r="P69" s="526">
        <f>-K69</f>
        <v>-42</v>
      </c>
      <c r="Q69" s="99"/>
      <c r="S69" s="97"/>
      <c r="T69" s="21"/>
      <c r="U69" s="97"/>
      <c r="V69" s="12"/>
      <c r="W69" s="12"/>
      <c r="X69" s="81"/>
      <c r="Y69" s="81"/>
      <c r="Z69" s="81"/>
      <c r="AA69" s="81"/>
      <c r="AB69" s="12"/>
      <c r="AC69" s="12"/>
      <c r="AD69" s="12"/>
      <c r="AE69" s="12"/>
      <c r="AF69" s="12"/>
      <c r="AG69" s="12"/>
      <c r="AH69" s="12"/>
      <c r="AI69" s="12"/>
      <c r="AJ69" s="12"/>
      <c r="AK69" s="12"/>
      <c r="AL69" s="12"/>
      <c r="AM69" s="12"/>
      <c r="AN69" s="12"/>
      <c r="AO69" s="12"/>
      <c r="AP69" s="12"/>
      <c r="AQ69" s="12"/>
      <c r="AR69" s="12"/>
      <c r="AS69" s="12"/>
      <c r="AT69" s="12"/>
    </row>
    <row r="70" spans="1:46" s="32" customFormat="1" ht="15">
      <c r="A70" s="988" t="s">
        <v>78</v>
      </c>
      <c r="B70" s="31" t="s">
        <v>214</v>
      </c>
      <c r="C70" s="107">
        <f>C66-C68-C69</f>
        <v>77.85</v>
      </c>
      <c r="D70" s="107">
        <f aca="true" t="shared" si="26" ref="D70:I70">D66-D68-D69</f>
        <v>284.75</v>
      </c>
      <c r="E70" s="107">
        <f t="shared" si="26"/>
        <v>321</v>
      </c>
      <c r="F70" s="107">
        <f t="shared" si="26"/>
        <v>407.5</v>
      </c>
      <c r="G70" s="107">
        <f t="shared" si="26"/>
        <v>91</v>
      </c>
      <c r="H70" s="107">
        <f t="shared" si="26"/>
        <v>294</v>
      </c>
      <c r="I70" s="137">
        <f t="shared" si="26"/>
        <v>1476.1</v>
      </c>
      <c r="J70" s="88"/>
      <c r="K70" s="172">
        <f t="shared" si="21"/>
        <v>1476.1</v>
      </c>
      <c r="L70" s="107">
        <f>L66-L68-L69</f>
        <v>12</v>
      </c>
      <c r="M70" s="107">
        <f>M66-M68-M69</f>
        <v>8</v>
      </c>
      <c r="N70" s="557"/>
      <c r="O70" s="528"/>
      <c r="P70" s="538"/>
      <c r="Q70" s="374"/>
      <c r="S70" s="105"/>
      <c r="T70" s="98"/>
      <c r="U70" s="105"/>
      <c r="V70" s="85"/>
      <c r="W70" s="85"/>
      <c r="X70" s="81"/>
      <c r="Y70" s="81"/>
      <c r="Z70" s="81"/>
      <c r="AA70" s="81"/>
      <c r="AB70" s="85"/>
      <c r="AC70" s="85"/>
      <c r="AD70" s="85"/>
      <c r="AE70" s="85"/>
      <c r="AF70" s="85"/>
      <c r="AG70" s="85"/>
      <c r="AH70" s="85"/>
      <c r="AI70" s="85"/>
      <c r="AJ70" s="85"/>
      <c r="AK70" s="85"/>
      <c r="AL70" s="85"/>
      <c r="AM70" s="85"/>
      <c r="AN70" s="85"/>
      <c r="AO70" s="85"/>
      <c r="AP70" s="85"/>
      <c r="AQ70" s="85"/>
      <c r="AR70" s="85"/>
      <c r="AS70" s="85"/>
      <c r="AT70" s="85"/>
    </row>
    <row r="71" spans="1:46" s="32" customFormat="1" ht="15">
      <c r="A71" s="988" t="s">
        <v>686</v>
      </c>
      <c r="B71" s="31" t="s">
        <v>687</v>
      </c>
      <c r="C71" s="107">
        <f aca="true" t="shared" si="27" ref="C71:H71">SUM(C72:C84)-C85</f>
        <v>68.5</v>
      </c>
      <c r="D71" s="107">
        <f t="shared" si="27"/>
        <v>280</v>
      </c>
      <c r="E71" s="107">
        <f t="shared" si="27"/>
        <v>266.8</v>
      </c>
      <c r="F71" s="107">
        <f t="shared" si="27"/>
        <v>308.5</v>
      </c>
      <c r="G71" s="107">
        <f t="shared" si="27"/>
        <v>84.6</v>
      </c>
      <c r="H71" s="107">
        <f t="shared" si="27"/>
        <v>268</v>
      </c>
      <c r="I71" s="137">
        <f>SUM(C71:H71)</f>
        <v>1276.4</v>
      </c>
      <c r="J71" s="88"/>
      <c r="K71" s="172"/>
      <c r="L71" s="982"/>
      <c r="M71" s="982"/>
      <c r="N71" s="557"/>
      <c r="O71" s="528"/>
      <c r="P71" s="538"/>
      <c r="Q71" s="374"/>
      <c r="S71" s="105"/>
      <c r="T71" s="98"/>
      <c r="U71" s="105"/>
      <c r="V71" s="85"/>
      <c r="W71" s="85"/>
      <c r="X71" s="81"/>
      <c r="Y71" s="81"/>
      <c r="Z71" s="81"/>
      <c r="AA71" s="81"/>
      <c r="AB71" s="85"/>
      <c r="AC71" s="85"/>
      <c r="AD71" s="85"/>
      <c r="AE71" s="85"/>
      <c r="AF71" s="85"/>
      <c r="AG71" s="85"/>
      <c r="AH71" s="85"/>
      <c r="AI71" s="85"/>
      <c r="AJ71" s="85"/>
      <c r="AK71" s="85"/>
      <c r="AL71" s="85"/>
      <c r="AM71" s="85"/>
      <c r="AN71" s="85"/>
      <c r="AO71" s="85"/>
      <c r="AP71" s="85"/>
      <c r="AQ71" s="85"/>
      <c r="AR71" s="85"/>
      <c r="AS71" s="85"/>
      <c r="AT71" s="85"/>
    </row>
    <row r="72" spans="1:46" ht="15">
      <c r="A72" s="78" t="s">
        <v>97</v>
      </c>
      <c r="B72" s="92" t="s">
        <v>70</v>
      </c>
      <c r="C72" s="4">
        <v>39.5</v>
      </c>
      <c r="D72" s="4">
        <v>250</v>
      </c>
      <c r="E72" s="4">
        <v>155</v>
      </c>
      <c r="F72" s="4">
        <v>58.5</v>
      </c>
      <c r="G72" s="4">
        <v>17.6</v>
      </c>
      <c r="H72" s="4">
        <v>150</v>
      </c>
      <c r="I72" s="137">
        <f>SUM(C72:H72)</f>
        <v>670.6</v>
      </c>
      <c r="J72" s="14"/>
      <c r="K72" s="172">
        <f t="shared" si="21"/>
        <v>670.6</v>
      </c>
      <c r="L72" s="476"/>
      <c r="M72" s="175"/>
      <c r="N72" s="555"/>
      <c r="O72" s="30"/>
      <c r="P72" s="537"/>
      <c r="Q72" s="99"/>
      <c r="R72" s="7"/>
      <c r="S72" s="97"/>
      <c r="T72" s="21"/>
      <c r="U72" s="97"/>
      <c r="V72" s="12"/>
      <c r="W72" s="12"/>
      <c r="X72" s="81"/>
      <c r="Y72" s="81"/>
      <c r="Z72" s="81"/>
      <c r="AA72" s="81"/>
      <c r="AB72" s="12"/>
      <c r="AC72" s="12"/>
      <c r="AD72" s="12"/>
      <c r="AE72" s="12"/>
      <c r="AF72" s="12"/>
      <c r="AG72" s="12"/>
      <c r="AH72" s="12"/>
      <c r="AI72" s="12"/>
      <c r="AJ72" s="12"/>
      <c r="AK72" s="12"/>
      <c r="AL72" s="12"/>
      <c r="AM72" s="12"/>
      <c r="AN72" s="12"/>
      <c r="AO72" s="12"/>
      <c r="AP72" s="12"/>
      <c r="AQ72" s="12"/>
      <c r="AR72" s="12"/>
      <c r="AS72" s="12"/>
      <c r="AT72" s="12"/>
    </row>
    <row r="73" spans="1:46" s="93" customFormat="1" ht="15">
      <c r="A73" s="113" t="s">
        <v>775</v>
      </c>
      <c r="B73" s="60" t="s">
        <v>779</v>
      </c>
      <c r="C73" s="4"/>
      <c r="D73" s="4"/>
      <c r="E73" s="4"/>
      <c r="F73" s="4"/>
      <c r="G73" s="4"/>
      <c r="H73" s="4"/>
      <c r="I73" s="137"/>
      <c r="J73" s="14"/>
      <c r="K73" s="172"/>
      <c r="L73" s="476"/>
      <c r="M73" s="175"/>
      <c r="N73" s="555"/>
      <c r="O73" s="30"/>
      <c r="P73" s="537"/>
      <c r="Q73" s="99"/>
      <c r="S73" s="97"/>
      <c r="T73" s="21"/>
      <c r="U73" s="97"/>
      <c r="V73" s="12"/>
      <c r="W73" s="12"/>
      <c r="X73" s="81"/>
      <c r="Y73" s="81"/>
      <c r="Z73" s="81"/>
      <c r="AA73" s="81"/>
      <c r="AB73" s="12"/>
      <c r="AC73" s="12"/>
      <c r="AD73" s="12"/>
      <c r="AE73" s="12"/>
      <c r="AF73" s="12"/>
      <c r="AG73" s="12"/>
      <c r="AH73" s="12"/>
      <c r="AI73" s="12"/>
      <c r="AJ73" s="12"/>
      <c r="AK73" s="12"/>
      <c r="AL73" s="12"/>
      <c r="AM73" s="12"/>
      <c r="AN73" s="12"/>
      <c r="AO73" s="12"/>
      <c r="AP73" s="12"/>
      <c r="AQ73" s="12"/>
      <c r="AR73" s="12"/>
      <c r="AS73" s="12"/>
      <c r="AT73" s="12"/>
    </row>
    <row r="74" spans="1:46" s="93" customFormat="1" ht="15">
      <c r="A74" s="113" t="s">
        <v>776</v>
      </c>
      <c r="B74" s="60" t="s">
        <v>780</v>
      </c>
      <c r="C74" s="4"/>
      <c r="D74" s="4"/>
      <c r="E74" s="4"/>
      <c r="F74" s="4"/>
      <c r="G74" s="4"/>
      <c r="H74" s="4"/>
      <c r="I74" s="137"/>
      <c r="J74" s="14"/>
      <c r="K74" s="172"/>
      <c r="L74" s="476"/>
      <c r="M74" s="175"/>
      <c r="N74" s="555"/>
      <c r="O74" s="30"/>
      <c r="P74" s="537"/>
      <c r="Q74" s="99"/>
      <c r="S74" s="97"/>
      <c r="T74" s="21"/>
      <c r="U74" s="97"/>
      <c r="V74" s="12"/>
      <c r="W74" s="12"/>
      <c r="X74" s="81"/>
      <c r="Y74" s="81"/>
      <c r="Z74" s="81"/>
      <c r="AA74" s="81"/>
      <c r="AB74" s="12"/>
      <c r="AC74" s="12"/>
      <c r="AD74" s="12"/>
      <c r="AE74" s="12"/>
      <c r="AF74" s="12"/>
      <c r="AG74" s="12"/>
      <c r="AH74" s="12"/>
      <c r="AI74" s="12"/>
      <c r="AJ74" s="12"/>
      <c r="AK74" s="12"/>
      <c r="AL74" s="12"/>
      <c r="AM74" s="12"/>
      <c r="AN74" s="12"/>
      <c r="AO74" s="12"/>
      <c r="AP74" s="12"/>
      <c r="AQ74" s="12"/>
      <c r="AR74" s="12"/>
      <c r="AS74" s="12"/>
      <c r="AT74" s="12"/>
    </row>
    <row r="75" spans="1:46" ht="15">
      <c r="A75" s="78" t="s">
        <v>98</v>
      </c>
      <c r="B75" s="92" t="s">
        <v>71</v>
      </c>
      <c r="C75" s="33">
        <v>10</v>
      </c>
      <c r="D75" s="33">
        <v>20</v>
      </c>
      <c r="E75" s="33">
        <v>99.8</v>
      </c>
      <c r="F75" s="4">
        <v>50</v>
      </c>
      <c r="G75" s="33">
        <v>50</v>
      </c>
      <c r="H75" s="33">
        <v>78</v>
      </c>
      <c r="I75" s="137">
        <f>SUM(C75:H75)</f>
        <v>307.8</v>
      </c>
      <c r="J75" s="16"/>
      <c r="K75" s="172">
        <f t="shared" si="21"/>
        <v>307.8</v>
      </c>
      <c r="L75" s="476"/>
      <c r="M75" s="175"/>
      <c r="N75" s="555"/>
      <c r="O75" s="30"/>
      <c r="P75" s="537"/>
      <c r="Q75" s="99"/>
      <c r="R75" s="7"/>
      <c r="S75" s="97"/>
      <c r="T75" s="21"/>
      <c r="U75" s="97"/>
      <c r="V75" s="12"/>
      <c r="W75" s="12"/>
      <c r="X75" s="81"/>
      <c r="Y75" s="81"/>
      <c r="Z75" s="81"/>
      <c r="AA75" s="81"/>
      <c r="AB75" s="12"/>
      <c r="AC75" s="12"/>
      <c r="AD75" s="12"/>
      <c r="AE75" s="12"/>
      <c r="AF75" s="12"/>
      <c r="AG75" s="12"/>
      <c r="AH75" s="12"/>
      <c r="AI75" s="12"/>
      <c r="AJ75" s="12"/>
      <c r="AK75" s="12"/>
      <c r="AL75" s="12"/>
      <c r="AM75" s="12"/>
      <c r="AN75" s="12"/>
      <c r="AO75" s="12"/>
      <c r="AP75" s="12"/>
      <c r="AQ75" s="12"/>
      <c r="AR75" s="12"/>
      <c r="AS75" s="12"/>
      <c r="AT75" s="12"/>
    </row>
    <row r="76" spans="1:46" s="93" customFormat="1" ht="15">
      <c r="A76" s="113" t="s">
        <v>777</v>
      </c>
      <c r="B76" s="60" t="s">
        <v>781</v>
      </c>
      <c r="C76" s="4"/>
      <c r="D76" s="4"/>
      <c r="E76" s="4"/>
      <c r="F76" s="4"/>
      <c r="G76" s="4"/>
      <c r="H76" s="4"/>
      <c r="I76" s="137"/>
      <c r="J76" s="14"/>
      <c r="K76" s="172"/>
      <c r="L76" s="476"/>
      <c r="M76" s="175"/>
      <c r="N76" s="555"/>
      <c r="O76" s="30"/>
      <c r="P76" s="537"/>
      <c r="Q76" s="99"/>
      <c r="S76" s="97"/>
      <c r="T76" s="21"/>
      <c r="U76" s="97"/>
      <c r="V76" s="12"/>
      <c r="W76" s="12"/>
      <c r="X76" s="81"/>
      <c r="Y76" s="81"/>
      <c r="Z76" s="81"/>
      <c r="AA76" s="81"/>
      <c r="AB76" s="12"/>
      <c r="AC76" s="12"/>
      <c r="AD76" s="12"/>
      <c r="AE76" s="12"/>
      <c r="AF76" s="12"/>
      <c r="AG76" s="12"/>
      <c r="AH76" s="12"/>
      <c r="AI76" s="12"/>
      <c r="AJ76" s="12"/>
      <c r="AK76" s="12"/>
      <c r="AL76" s="12"/>
      <c r="AM76" s="12"/>
      <c r="AN76" s="12"/>
      <c r="AO76" s="12"/>
      <c r="AP76" s="12"/>
      <c r="AQ76" s="12"/>
      <c r="AR76" s="12"/>
      <c r="AS76" s="12"/>
      <c r="AT76" s="12"/>
    </row>
    <row r="77" spans="1:46" s="93" customFormat="1" ht="15">
      <c r="A77" s="113" t="s">
        <v>778</v>
      </c>
      <c r="B77" s="60" t="s">
        <v>782</v>
      </c>
      <c r="C77" s="4"/>
      <c r="D77" s="4"/>
      <c r="E77" s="4"/>
      <c r="F77" s="4"/>
      <c r="G77" s="4"/>
      <c r="H77" s="4"/>
      <c r="I77" s="137"/>
      <c r="J77" s="14"/>
      <c r="K77" s="172"/>
      <c r="L77" s="476"/>
      <c r="M77" s="175"/>
      <c r="N77" s="555"/>
      <c r="O77" s="30"/>
      <c r="P77" s="537"/>
      <c r="Q77" s="99"/>
      <c r="S77" s="97"/>
      <c r="T77" s="21"/>
      <c r="U77" s="97"/>
      <c r="V77" s="12"/>
      <c r="W77" s="12"/>
      <c r="X77" s="81"/>
      <c r="Y77" s="81"/>
      <c r="Z77" s="81"/>
      <c r="AA77" s="81"/>
      <c r="AB77" s="12"/>
      <c r="AC77" s="12"/>
      <c r="AD77" s="12"/>
      <c r="AE77" s="12"/>
      <c r="AF77" s="12"/>
      <c r="AG77" s="12"/>
      <c r="AH77" s="12"/>
      <c r="AI77" s="12"/>
      <c r="AJ77" s="12"/>
      <c r="AK77" s="12"/>
      <c r="AL77" s="12"/>
      <c r="AM77" s="12"/>
      <c r="AN77" s="12"/>
      <c r="AO77" s="12"/>
      <c r="AP77" s="12"/>
      <c r="AQ77" s="12"/>
      <c r="AR77" s="12"/>
      <c r="AS77" s="12"/>
      <c r="AT77" s="12"/>
    </row>
    <row r="78" spans="1:46" ht="15">
      <c r="A78" s="78" t="s">
        <v>121</v>
      </c>
      <c r="B78" s="92" t="s">
        <v>72</v>
      </c>
      <c r="C78" s="33">
        <v>20</v>
      </c>
      <c r="D78" s="33">
        <v>20</v>
      </c>
      <c r="E78" s="33">
        <v>50</v>
      </c>
      <c r="F78" s="33">
        <v>200</v>
      </c>
      <c r="G78" s="33">
        <v>20</v>
      </c>
      <c r="H78" s="33">
        <v>50</v>
      </c>
      <c r="I78" s="137">
        <f>SUM(C78:H78)</f>
        <v>360</v>
      </c>
      <c r="J78" s="16"/>
      <c r="K78" s="172">
        <f t="shared" si="21"/>
        <v>360</v>
      </c>
      <c r="L78" s="350"/>
      <c r="M78" s="92"/>
      <c r="N78" s="139"/>
      <c r="O78" s="30"/>
      <c r="P78" s="537"/>
      <c r="Q78" s="99"/>
      <c r="R78" s="7"/>
      <c r="S78" s="97"/>
      <c r="T78" s="21"/>
      <c r="U78" s="97"/>
      <c r="V78" s="12"/>
      <c r="W78" s="12"/>
      <c r="X78" s="81"/>
      <c r="Y78" s="81"/>
      <c r="Z78" s="81"/>
      <c r="AA78" s="81"/>
      <c r="AB78" s="12"/>
      <c r="AC78" s="12"/>
      <c r="AD78" s="12"/>
      <c r="AE78" s="12"/>
      <c r="AF78" s="12"/>
      <c r="AG78" s="12"/>
      <c r="AH78" s="12"/>
      <c r="AI78" s="12"/>
      <c r="AJ78" s="12"/>
      <c r="AK78" s="12"/>
      <c r="AL78" s="12"/>
      <c r="AM78" s="12"/>
      <c r="AN78" s="12"/>
      <c r="AO78" s="12"/>
      <c r="AP78" s="12"/>
      <c r="AQ78" s="12"/>
      <c r="AR78" s="12"/>
      <c r="AS78" s="12"/>
      <c r="AT78" s="12"/>
    </row>
    <row r="79" spans="1:46" s="93" customFormat="1" ht="15">
      <c r="A79" s="113" t="s">
        <v>783</v>
      </c>
      <c r="B79" s="60" t="s">
        <v>779</v>
      </c>
      <c r="C79" s="4"/>
      <c r="D79" s="4"/>
      <c r="E79" s="4"/>
      <c r="F79" s="4"/>
      <c r="G79" s="4"/>
      <c r="H79" s="4"/>
      <c r="I79" s="137"/>
      <c r="J79" s="14"/>
      <c r="K79" s="172"/>
      <c r="L79" s="476"/>
      <c r="M79" s="175"/>
      <c r="N79" s="555"/>
      <c r="O79" s="30"/>
      <c r="P79" s="537"/>
      <c r="Q79" s="99"/>
      <c r="S79" s="97"/>
      <c r="T79" s="21"/>
      <c r="U79" s="97"/>
      <c r="V79" s="12"/>
      <c r="W79" s="12"/>
      <c r="X79" s="81"/>
      <c r="Y79" s="81"/>
      <c r="Z79" s="81"/>
      <c r="AA79" s="81"/>
      <c r="AB79" s="12"/>
      <c r="AC79" s="12"/>
      <c r="AD79" s="12"/>
      <c r="AE79" s="12"/>
      <c r="AF79" s="12"/>
      <c r="AG79" s="12"/>
      <c r="AH79" s="12"/>
      <c r="AI79" s="12"/>
      <c r="AJ79" s="12"/>
      <c r="AK79" s="12"/>
      <c r="AL79" s="12"/>
      <c r="AM79" s="12"/>
      <c r="AN79" s="12"/>
      <c r="AO79" s="12"/>
      <c r="AP79" s="12"/>
      <c r="AQ79" s="12"/>
      <c r="AR79" s="12"/>
      <c r="AS79" s="12"/>
      <c r="AT79" s="12"/>
    </row>
    <row r="80" spans="1:46" s="93" customFormat="1" ht="15">
      <c r="A80" s="113" t="s">
        <v>784</v>
      </c>
      <c r="B80" s="60" t="s">
        <v>780</v>
      </c>
      <c r="C80" s="4"/>
      <c r="D80" s="4"/>
      <c r="E80" s="4"/>
      <c r="F80" s="4"/>
      <c r="G80" s="4"/>
      <c r="H80" s="4"/>
      <c r="I80" s="137"/>
      <c r="J80" s="14"/>
      <c r="K80" s="172"/>
      <c r="L80" s="476"/>
      <c r="M80" s="175"/>
      <c r="N80" s="555"/>
      <c r="O80" s="30"/>
      <c r="P80" s="537"/>
      <c r="Q80" s="99"/>
      <c r="S80" s="97"/>
      <c r="T80" s="21"/>
      <c r="U80" s="97"/>
      <c r="V80" s="12"/>
      <c r="W80" s="12"/>
      <c r="X80" s="81"/>
      <c r="Y80" s="81"/>
      <c r="Z80" s="81"/>
      <c r="AA80" s="81"/>
      <c r="AB80" s="12"/>
      <c r="AC80" s="12"/>
      <c r="AD80" s="12"/>
      <c r="AE80" s="12"/>
      <c r="AF80" s="12"/>
      <c r="AG80" s="12"/>
      <c r="AH80" s="12"/>
      <c r="AI80" s="12"/>
      <c r="AJ80" s="12"/>
      <c r="AK80" s="12"/>
      <c r="AL80" s="12"/>
      <c r="AM80" s="12"/>
      <c r="AN80" s="12"/>
      <c r="AO80" s="12"/>
      <c r="AP80" s="12"/>
      <c r="AQ80" s="12"/>
      <c r="AR80" s="12"/>
      <c r="AS80" s="12"/>
      <c r="AT80" s="12"/>
    </row>
    <row r="81" spans="1:46" s="93" customFormat="1" ht="15">
      <c r="A81" s="78" t="s">
        <v>122</v>
      </c>
      <c r="B81" s="92" t="s">
        <v>290</v>
      </c>
      <c r="C81" s="33"/>
      <c r="D81" s="33"/>
      <c r="E81" s="33">
        <v>2</v>
      </c>
      <c r="F81" s="33"/>
      <c r="G81" s="33">
        <v>2</v>
      </c>
      <c r="H81" s="33"/>
      <c r="I81" s="137">
        <f>SUM(C81:H81)</f>
        <v>4</v>
      </c>
      <c r="J81" s="16"/>
      <c r="K81" s="172">
        <f t="shared" si="21"/>
        <v>4</v>
      </c>
      <c r="L81" s="723">
        <f>-L57</f>
        <v>15.156000000000002</v>
      </c>
      <c r="M81" s="92">
        <v>10</v>
      </c>
      <c r="N81" s="139"/>
      <c r="O81" s="30"/>
      <c r="P81" s="537"/>
      <c r="Q81" s="99"/>
      <c r="S81" s="97"/>
      <c r="T81" s="21"/>
      <c r="U81" s="97"/>
      <c r="V81" s="12"/>
      <c r="W81" s="12"/>
      <c r="X81" s="81"/>
      <c r="Y81" s="81"/>
      <c r="Z81" s="81"/>
      <c r="AA81" s="81"/>
      <c r="AB81" s="12"/>
      <c r="AC81" s="12"/>
      <c r="AD81" s="12"/>
      <c r="AE81" s="12"/>
      <c r="AF81" s="12"/>
      <c r="AG81" s="12"/>
      <c r="AH81" s="12"/>
      <c r="AI81" s="12"/>
      <c r="AJ81" s="12"/>
      <c r="AK81" s="12"/>
      <c r="AL81" s="12"/>
      <c r="AM81" s="12"/>
      <c r="AN81" s="12"/>
      <c r="AO81" s="12"/>
      <c r="AP81" s="12"/>
      <c r="AQ81" s="12"/>
      <c r="AR81" s="12"/>
      <c r="AS81" s="12"/>
      <c r="AT81" s="12"/>
    </row>
    <row r="82" spans="1:46" s="93" customFormat="1" ht="15">
      <c r="A82" s="113" t="s">
        <v>785</v>
      </c>
      <c r="B82" s="60" t="s">
        <v>787</v>
      </c>
      <c r="C82" s="4"/>
      <c r="D82" s="4"/>
      <c r="E82" s="4"/>
      <c r="F82" s="4"/>
      <c r="G82" s="4"/>
      <c r="H82" s="4"/>
      <c r="I82" s="137"/>
      <c r="J82" s="14"/>
      <c r="K82" s="172"/>
      <c r="L82" s="476"/>
      <c r="M82" s="175"/>
      <c r="N82" s="555"/>
      <c r="O82" s="30"/>
      <c r="P82" s="537"/>
      <c r="Q82" s="99"/>
      <c r="S82" s="97"/>
      <c r="T82" s="21"/>
      <c r="U82" s="97"/>
      <c r="V82" s="12"/>
      <c r="W82" s="12"/>
      <c r="X82" s="81"/>
      <c r="Y82" s="81"/>
      <c r="Z82" s="81"/>
      <c r="AA82" s="81"/>
      <c r="AB82" s="12"/>
      <c r="AC82" s="12"/>
      <c r="AD82" s="12"/>
      <c r="AE82" s="12"/>
      <c r="AF82" s="12"/>
      <c r="AG82" s="12"/>
      <c r="AH82" s="12"/>
      <c r="AI82" s="12"/>
      <c r="AJ82" s="12"/>
      <c r="AK82" s="12"/>
      <c r="AL82" s="12"/>
      <c r="AM82" s="12"/>
      <c r="AN82" s="12"/>
      <c r="AO82" s="12"/>
      <c r="AP82" s="12"/>
      <c r="AQ82" s="12"/>
      <c r="AR82" s="12"/>
      <c r="AS82" s="12"/>
      <c r="AT82" s="12"/>
    </row>
    <row r="83" spans="1:46" s="93" customFormat="1" ht="15">
      <c r="A83" s="113" t="s">
        <v>786</v>
      </c>
      <c r="B83" s="60" t="s">
        <v>780</v>
      </c>
      <c r="C83" s="4"/>
      <c r="D83" s="4"/>
      <c r="E83" s="4"/>
      <c r="F83" s="4"/>
      <c r="G83" s="4"/>
      <c r="H83" s="4"/>
      <c r="I83" s="137"/>
      <c r="J83" s="14"/>
      <c r="K83" s="172"/>
      <c r="L83" s="476"/>
      <c r="M83" s="175"/>
      <c r="N83" s="555"/>
      <c r="O83" s="30"/>
      <c r="P83" s="537"/>
      <c r="Q83" s="99"/>
      <c r="S83" s="97"/>
      <c r="T83" s="21"/>
      <c r="U83" s="97"/>
      <c r="V83" s="12"/>
      <c r="W83" s="12"/>
      <c r="X83" s="81"/>
      <c r="Y83" s="81"/>
      <c r="Z83" s="81"/>
      <c r="AA83" s="81"/>
      <c r="AB83" s="12"/>
      <c r="AC83" s="12"/>
      <c r="AD83" s="12"/>
      <c r="AE83" s="12"/>
      <c r="AF83" s="12"/>
      <c r="AG83" s="12"/>
      <c r="AH83" s="12"/>
      <c r="AI83" s="12"/>
      <c r="AJ83" s="12"/>
      <c r="AK83" s="12"/>
      <c r="AL83" s="12"/>
      <c r="AM83" s="12"/>
      <c r="AN83" s="12"/>
      <c r="AO83" s="12"/>
      <c r="AP83" s="12"/>
      <c r="AQ83" s="12"/>
      <c r="AR83" s="12"/>
      <c r="AS83" s="12"/>
      <c r="AT83" s="12"/>
    </row>
    <row r="84" spans="1:46" s="93" customFormat="1" ht="15">
      <c r="A84" s="78" t="s">
        <v>289</v>
      </c>
      <c r="B84" s="92" t="s">
        <v>773</v>
      </c>
      <c r="C84" s="33"/>
      <c r="D84" s="33"/>
      <c r="E84" s="33"/>
      <c r="F84" s="33"/>
      <c r="G84" s="33"/>
      <c r="H84" s="33"/>
      <c r="I84" s="137"/>
      <c r="J84" s="16"/>
      <c r="K84" s="172"/>
      <c r="L84" s="723"/>
      <c r="M84" s="118"/>
      <c r="N84" s="547"/>
      <c r="O84" s="30"/>
      <c r="P84" s="537"/>
      <c r="Q84" s="99"/>
      <c r="S84" s="97"/>
      <c r="T84" s="21"/>
      <c r="U84" s="97"/>
      <c r="V84" s="12"/>
      <c r="W84" s="12"/>
      <c r="X84" s="81"/>
      <c r="Y84" s="81"/>
      <c r="Z84" s="81"/>
      <c r="AA84" s="81"/>
      <c r="AB84" s="12"/>
      <c r="AC84" s="12"/>
      <c r="AD84" s="12"/>
      <c r="AE84" s="12"/>
      <c r="AF84" s="12"/>
      <c r="AG84" s="12"/>
      <c r="AH84" s="12"/>
      <c r="AI84" s="12"/>
      <c r="AJ84" s="12"/>
      <c r="AK84" s="12"/>
      <c r="AL84" s="12"/>
      <c r="AM84" s="12"/>
      <c r="AN84" s="12"/>
      <c r="AO84" s="12"/>
      <c r="AP84" s="12"/>
      <c r="AQ84" s="12"/>
      <c r="AR84" s="12"/>
      <c r="AS84" s="12"/>
      <c r="AT84" s="12"/>
    </row>
    <row r="85" spans="1:46" ht="15">
      <c r="A85" s="78" t="s">
        <v>743</v>
      </c>
      <c r="B85" s="19" t="s">
        <v>774</v>
      </c>
      <c r="C85" s="33">
        <v>1</v>
      </c>
      <c r="D85" s="33">
        <v>10</v>
      </c>
      <c r="E85" s="33">
        <v>40</v>
      </c>
      <c r="F85" s="33">
        <v>0</v>
      </c>
      <c r="G85" s="33">
        <v>5</v>
      </c>
      <c r="H85" s="33">
        <v>10</v>
      </c>
      <c r="I85" s="137">
        <f>SUM(C85:H85)</f>
        <v>66</v>
      </c>
      <c r="J85" s="16"/>
      <c r="K85" s="172">
        <f t="shared" si="21"/>
        <v>66</v>
      </c>
      <c r="L85" s="476"/>
      <c r="M85" s="175"/>
      <c r="N85" s="555"/>
      <c r="O85" s="30"/>
      <c r="P85" s="537"/>
      <c r="Q85" s="99"/>
      <c r="R85" s="7"/>
      <c r="S85" s="97"/>
      <c r="T85" s="21"/>
      <c r="U85" s="97"/>
      <c r="V85" s="12"/>
      <c r="W85" s="12"/>
      <c r="X85" s="81"/>
      <c r="Y85" s="81"/>
      <c r="Z85" s="81"/>
      <c r="AA85" s="81"/>
      <c r="AB85" s="12"/>
      <c r="AC85" s="12"/>
      <c r="AD85" s="12"/>
      <c r="AE85" s="12"/>
      <c r="AF85" s="12"/>
      <c r="AG85" s="12"/>
      <c r="AH85" s="12"/>
      <c r="AI85" s="12"/>
      <c r="AJ85" s="12"/>
      <c r="AK85" s="12"/>
      <c r="AL85" s="12"/>
      <c r="AM85" s="12"/>
      <c r="AN85" s="12"/>
      <c r="AO85" s="12"/>
      <c r="AP85" s="12"/>
      <c r="AQ85" s="12"/>
      <c r="AR85" s="12"/>
      <c r="AS85" s="12"/>
      <c r="AT85" s="12"/>
    </row>
    <row r="86" spans="1:46" s="32" customFormat="1" ht="15">
      <c r="A86" s="988" t="s">
        <v>120</v>
      </c>
      <c r="B86" s="31" t="s">
        <v>755</v>
      </c>
      <c r="C86" s="107">
        <f>C70+C85-SUM(C72:C78)</f>
        <v>9.349999999999994</v>
      </c>
      <c r="D86" s="107">
        <f aca="true" t="shared" si="28" ref="D86:I86">D70+D85-SUM(D72:D78)</f>
        <v>4.75</v>
      </c>
      <c r="E86" s="107">
        <f t="shared" si="28"/>
        <v>56.19999999999999</v>
      </c>
      <c r="F86" s="107">
        <f t="shared" si="28"/>
        <v>99</v>
      </c>
      <c r="G86" s="107">
        <f t="shared" si="28"/>
        <v>8.400000000000006</v>
      </c>
      <c r="H86" s="107">
        <f t="shared" si="28"/>
        <v>26</v>
      </c>
      <c r="I86" s="137">
        <f t="shared" si="28"/>
        <v>203.69999999999982</v>
      </c>
      <c r="J86" s="88"/>
      <c r="K86" s="172">
        <f t="shared" si="21"/>
        <v>203.69999999999982</v>
      </c>
      <c r="L86" s="107">
        <f>L70-L81</f>
        <v>-3.1560000000000024</v>
      </c>
      <c r="M86" s="981">
        <f>M70-M81</f>
        <v>-2</v>
      </c>
      <c r="N86" s="557"/>
      <c r="O86" s="528"/>
      <c r="P86" s="538"/>
      <c r="Q86" s="374"/>
      <c r="R86" s="85"/>
      <c r="S86" s="85"/>
      <c r="T86" s="85"/>
      <c r="U86" s="85"/>
      <c r="V86" s="85"/>
      <c r="W86" s="85"/>
      <c r="X86" s="81"/>
      <c r="Y86" s="81"/>
      <c r="Z86" s="81"/>
      <c r="AA86" s="81"/>
      <c r="AB86" s="85"/>
      <c r="AC86" s="85"/>
      <c r="AD86" s="85"/>
      <c r="AE86" s="85"/>
      <c r="AF86" s="85"/>
      <c r="AG86" s="85"/>
      <c r="AH86" s="85"/>
      <c r="AI86" s="85"/>
      <c r="AJ86" s="85"/>
      <c r="AK86" s="85"/>
      <c r="AL86" s="85"/>
      <c r="AM86" s="85"/>
      <c r="AN86" s="85"/>
      <c r="AO86" s="85"/>
      <c r="AP86" s="85"/>
      <c r="AQ86" s="85"/>
      <c r="AR86" s="85"/>
      <c r="AS86" s="85"/>
      <c r="AT86" s="85"/>
    </row>
    <row r="87" spans="1:21" s="41" customFormat="1" ht="15">
      <c r="A87" s="113" t="s">
        <v>123</v>
      </c>
      <c r="B87" s="102" t="s">
        <v>215</v>
      </c>
      <c r="C87" s="61">
        <f aca="true" t="shared" si="29" ref="C87:H88">C58/10</f>
        <v>-3.714938238000002</v>
      </c>
      <c r="D87" s="61">
        <f t="shared" si="29"/>
        <v>-16.557435540000007</v>
      </c>
      <c r="E87" s="61">
        <f t="shared" si="29"/>
        <v>-7.845291115000009</v>
      </c>
      <c r="F87" s="61">
        <f t="shared" si="29"/>
        <v>0</v>
      </c>
      <c r="G87" s="61">
        <f t="shared" si="29"/>
        <v>0</v>
      </c>
      <c r="H87" s="61">
        <f t="shared" si="29"/>
        <v>-67.94496</v>
      </c>
      <c r="I87" s="249">
        <f>SUM(C87:H87)</f>
        <v>-96.06262489300002</v>
      </c>
      <c r="J87" s="59"/>
      <c r="K87" s="172">
        <f t="shared" si="21"/>
        <v>-96.06262489300002</v>
      </c>
      <c r="L87" s="478"/>
      <c r="M87" s="176"/>
      <c r="N87" s="558"/>
      <c r="O87" s="529"/>
      <c r="P87" s="539"/>
      <c r="Q87" s="368"/>
      <c r="R87" s="84"/>
      <c r="S87" s="84"/>
      <c r="T87" s="84"/>
      <c r="U87" s="66"/>
    </row>
    <row r="88" spans="1:21" s="41" customFormat="1" ht="15.75" thickBot="1">
      <c r="A88" s="177" t="s">
        <v>124</v>
      </c>
      <c r="B88" s="178" t="s">
        <v>216</v>
      </c>
      <c r="C88" s="179">
        <f t="shared" si="29"/>
        <v>13.064938237999991</v>
      </c>
      <c r="D88" s="179">
        <f t="shared" si="29"/>
        <v>21.307435539999982</v>
      </c>
      <c r="E88" s="179">
        <f t="shared" si="29"/>
        <v>64.04529111500001</v>
      </c>
      <c r="F88" s="179">
        <f t="shared" si="29"/>
        <v>99</v>
      </c>
      <c r="G88" s="179">
        <f t="shared" si="29"/>
        <v>8.4</v>
      </c>
      <c r="H88" s="179">
        <f t="shared" si="29"/>
        <v>93.94496</v>
      </c>
      <c r="I88" s="252">
        <f>SUM(C88:H88)</f>
        <v>299.762624893</v>
      </c>
      <c r="J88" s="68"/>
      <c r="K88" s="182">
        <f>I88</f>
        <v>299.762624893</v>
      </c>
      <c r="L88" s="479"/>
      <c r="M88" s="480"/>
      <c r="N88" s="559"/>
      <c r="O88" s="530"/>
      <c r="P88" s="540"/>
      <c r="Q88" s="369"/>
      <c r="R88" s="84"/>
      <c r="S88" s="84"/>
      <c r="T88" s="84"/>
      <c r="U88" s="66"/>
    </row>
    <row r="89" spans="1:46" s="169" customFormat="1" ht="15.75">
      <c r="A89" s="1062" t="s">
        <v>397</v>
      </c>
      <c r="B89" s="1063"/>
      <c r="C89" s="1063"/>
      <c r="D89" s="1063"/>
      <c r="E89" s="1063"/>
      <c r="F89" s="1063"/>
      <c r="G89" s="1063"/>
      <c r="H89" s="1063"/>
      <c r="I89" s="1063"/>
      <c r="J89" s="1063"/>
      <c r="K89" s="1064"/>
      <c r="L89" s="183"/>
      <c r="M89" s="183"/>
      <c r="N89" s="552"/>
      <c r="O89" s="184"/>
      <c r="P89" s="670"/>
      <c r="Q89" s="387"/>
      <c r="R89" s="185"/>
      <c r="S89" s="185"/>
      <c r="T89" s="185"/>
      <c r="U89" s="167"/>
      <c r="V89" s="167"/>
      <c r="W89" s="167"/>
      <c r="X89" s="185"/>
      <c r="Y89" s="185"/>
      <c r="Z89" s="185"/>
      <c r="AA89" s="185"/>
      <c r="AB89" s="167"/>
      <c r="AC89" s="167"/>
      <c r="AD89" s="167"/>
      <c r="AE89" s="167"/>
      <c r="AF89" s="167"/>
      <c r="AG89" s="167"/>
      <c r="AH89" s="167"/>
      <c r="AI89" s="167"/>
      <c r="AJ89" s="167"/>
      <c r="AK89" s="167"/>
      <c r="AL89" s="167"/>
      <c r="AM89" s="167"/>
      <c r="AN89" s="167"/>
      <c r="AO89" s="167"/>
      <c r="AP89" s="167"/>
      <c r="AQ89" s="167"/>
      <c r="AR89" s="167"/>
      <c r="AS89" s="167"/>
      <c r="AT89" s="167"/>
    </row>
    <row r="90" spans="1:46" s="93" customFormat="1" ht="15">
      <c r="A90" s="71" t="s">
        <v>21</v>
      </c>
      <c r="B90" s="108" t="s">
        <v>128</v>
      </c>
      <c r="C90" s="2">
        <f aca="true" t="shared" si="30" ref="C90:H90">(C91+C92)/100</f>
        <v>0.15</v>
      </c>
      <c r="D90" s="2">
        <f t="shared" si="30"/>
        <v>0.12</v>
      </c>
      <c r="E90" s="2">
        <f t="shared" si="30"/>
        <v>0.15</v>
      </c>
      <c r="F90" s="2">
        <f t="shared" si="30"/>
        <v>0.14</v>
      </c>
      <c r="G90" s="2">
        <f t="shared" si="30"/>
        <v>0.09</v>
      </c>
      <c r="H90" s="2">
        <f t="shared" si="30"/>
        <v>0.15</v>
      </c>
      <c r="I90" s="132"/>
      <c r="J90" s="14"/>
      <c r="K90" s="172"/>
      <c r="L90" s="300">
        <v>0.7</v>
      </c>
      <c r="M90" s="171"/>
      <c r="N90" s="553"/>
      <c r="O90" s="24"/>
      <c r="P90" s="527"/>
      <c r="Q90" s="99"/>
      <c r="R90" s="12"/>
      <c r="S90" s="12"/>
      <c r="T90" s="12"/>
      <c r="U90" s="12"/>
      <c r="V90" s="12"/>
      <c r="W90" s="12"/>
      <c r="X90" s="81"/>
      <c r="Y90" s="81"/>
      <c r="Z90" s="81"/>
      <c r="AA90" s="81"/>
      <c r="AB90" s="12"/>
      <c r="AC90" s="12"/>
      <c r="AD90" s="12"/>
      <c r="AE90" s="12"/>
      <c r="AF90" s="12"/>
      <c r="AG90" s="12"/>
      <c r="AH90" s="12"/>
      <c r="AI90" s="12"/>
      <c r="AJ90" s="12"/>
      <c r="AK90" s="12"/>
      <c r="AL90" s="12"/>
      <c r="AM90" s="12"/>
      <c r="AN90" s="12"/>
      <c r="AO90" s="12"/>
      <c r="AP90" s="12"/>
      <c r="AQ90" s="12"/>
      <c r="AR90" s="12"/>
      <c r="AS90" s="12"/>
      <c r="AT90" s="12"/>
    </row>
    <row r="91" spans="1:27" s="42" customFormat="1" ht="15">
      <c r="A91" s="78" t="s">
        <v>129</v>
      </c>
      <c r="B91" s="102" t="s">
        <v>126</v>
      </c>
      <c r="C91" s="19">
        <v>10</v>
      </c>
      <c r="D91" s="19">
        <v>10</v>
      </c>
      <c r="E91" s="19">
        <v>10</v>
      </c>
      <c r="F91" s="19">
        <v>4</v>
      </c>
      <c r="G91" s="19">
        <v>3</v>
      </c>
      <c r="H91" s="19">
        <v>10</v>
      </c>
      <c r="I91" s="132"/>
      <c r="J91" s="13"/>
      <c r="K91" s="172"/>
      <c r="L91" s="175"/>
      <c r="M91" s="175"/>
      <c r="N91" s="555"/>
      <c r="O91" s="30"/>
      <c r="P91" s="537"/>
      <c r="Q91" s="367"/>
      <c r="R91" s="49"/>
      <c r="S91" s="49"/>
      <c r="T91" s="49"/>
      <c r="U91" s="49"/>
      <c r="X91" s="82"/>
      <c r="Y91" s="82"/>
      <c r="Z91" s="82"/>
      <c r="AA91" s="82"/>
    </row>
    <row r="92" spans="1:27" s="42" customFormat="1" ht="15">
      <c r="A92" s="78" t="s">
        <v>130</v>
      </c>
      <c r="B92" s="109" t="s">
        <v>127</v>
      </c>
      <c r="C92" s="19">
        <v>5</v>
      </c>
      <c r="D92" s="19">
        <v>2</v>
      </c>
      <c r="E92" s="19">
        <v>5</v>
      </c>
      <c r="F92" s="19">
        <v>10</v>
      </c>
      <c r="G92" s="19">
        <v>6</v>
      </c>
      <c r="H92" s="19">
        <v>5</v>
      </c>
      <c r="I92" s="132"/>
      <c r="J92" s="13"/>
      <c r="K92" s="172"/>
      <c r="L92" s="175"/>
      <c r="M92" s="175"/>
      <c r="N92" s="555"/>
      <c r="O92" s="30"/>
      <c r="P92" s="537"/>
      <c r="Q92" s="367"/>
      <c r="R92" s="49"/>
      <c r="S92" s="49"/>
      <c r="T92" s="49"/>
      <c r="U92" s="49"/>
      <c r="X92" s="82"/>
      <c r="Y92" s="82"/>
      <c r="Z92" s="82"/>
      <c r="AA92" s="82"/>
    </row>
    <row r="93" spans="1:46" s="93" customFormat="1" ht="15">
      <c r="A93" s="71" t="s">
        <v>22</v>
      </c>
      <c r="B93" s="108" t="s">
        <v>362</v>
      </c>
      <c r="C93" s="2">
        <f aca="true" t="shared" si="31" ref="C93:H93">(C94+C95)/100</f>
        <v>0.25</v>
      </c>
      <c r="D93" s="2">
        <f t="shared" si="31"/>
        <v>0.16</v>
      </c>
      <c r="E93" s="2">
        <f t="shared" si="31"/>
        <v>0.2</v>
      </c>
      <c r="F93" s="2">
        <f t="shared" si="31"/>
        <v>0.09</v>
      </c>
      <c r="G93" s="2">
        <f t="shared" si="31"/>
        <v>0.11</v>
      </c>
      <c r="H93" s="2">
        <f t="shared" si="31"/>
        <v>0.29</v>
      </c>
      <c r="I93" s="132"/>
      <c r="J93" s="14"/>
      <c r="K93" s="172"/>
      <c r="L93" s="300">
        <v>0.8</v>
      </c>
      <c r="M93" s="171"/>
      <c r="N93" s="553"/>
      <c r="O93" s="24"/>
      <c r="P93" s="527"/>
      <c r="Q93" s="99"/>
      <c r="R93" s="12"/>
      <c r="S93" s="12"/>
      <c r="T93" s="12"/>
      <c r="U93" s="12"/>
      <c r="V93" s="12"/>
      <c r="W93" s="12"/>
      <c r="X93" s="81"/>
      <c r="Y93" s="81"/>
      <c r="Z93" s="81"/>
      <c r="AA93" s="81"/>
      <c r="AB93" s="12"/>
      <c r="AC93" s="12"/>
      <c r="AD93" s="12"/>
      <c r="AE93" s="12"/>
      <c r="AF93" s="12"/>
      <c r="AG93" s="12"/>
      <c r="AH93" s="12"/>
      <c r="AI93" s="12"/>
      <c r="AJ93" s="12"/>
      <c r="AK93" s="12"/>
      <c r="AL93" s="12"/>
      <c r="AM93" s="12"/>
      <c r="AN93" s="12"/>
      <c r="AO93" s="12"/>
      <c r="AP93" s="12"/>
      <c r="AQ93" s="12"/>
      <c r="AR93" s="12"/>
      <c r="AS93" s="12"/>
      <c r="AT93" s="12"/>
    </row>
    <row r="94" spans="1:46" s="93" customFormat="1" ht="15">
      <c r="A94" s="79" t="s">
        <v>131</v>
      </c>
      <c r="B94" s="102" t="s">
        <v>126</v>
      </c>
      <c r="C94" s="4">
        <v>10</v>
      </c>
      <c r="D94" s="4">
        <v>13</v>
      </c>
      <c r="E94" s="4">
        <v>12</v>
      </c>
      <c r="F94" s="4">
        <v>2</v>
      </c>
      <c r="G94" s="4">
        <v>3</v>
      </c>
      <c r="H94" s="4">
        <v>15</v>
      </c>
      <c r="I94" s="132"/>
      <c r="J94" s="14"/>
      <c r="K94" s="172"/>
      <c r="L94" s="171"/>
      <c r="M94" s="171"/>
      <c r="N94" s="553"/>
      <c r="O94" s="24"/>
      <c r="P94" s="527"/>
      <c r="Q94" s="99"/>
      <c r="R94" s="12"/>
      <c r="S94" s="12"/>
      <c r="T94" s="12"/>
      <c r="U94" s="12"/>
      <c r="V94" s="12"/>
      <c r="W94" s="12"/>
      <c r="X94" s="81"/>
      <c r="Y94" s="81"/>
      <c r="Z94" s="81"/>
      <c r="AA94" s="81"/>
      <c r="AB94" s="12"/>
      <c r="AC94" s="12"/>
      <c r="AD94" s="12"/>
      <c r="AE94" s="12"/>
      <c r="AF94" s="12"/>
      <c r="AG94" s="12"/>
      <c r="AH94" s="12"/>
      <c r="AI94" s="12"/>
      <c r="AJ94" s="12"/>
      <c r="AK94" s="12"/>
      <c r="AL94" s="12"/>
      <c r="AM94" s="12"/>
      <c r="AN94" s="12"/>
      <c r="AO94" s="12"/>
      <c r="AP94" s="12"/>
      <c r="AQ94" s="12"/>
      <c r="AR94" s="12"/>
      <c r="AS94" s="12"/>
      <c r="AT94" s="12"/>
    </row>
    <row r="95" spans="1:46" s="93" customFormat="1" ht="15">
      <c r="A95" s="79" t="s">
        <v>132</v>
      </c>
      <c r="B95" s="109" t="s">
        <v>127</v>
      </c>
      <c r="C95" s="4">
        <v>15</v>
      </c>
      <c r="D95" s="4">
        <v>3</v>
      </c>
      <c r="E95" s="4">
        <v>8</v>
      </c>
      <c r="F95" s="4">
        <v>7</v>
      </c>
      <c r="G95" s="4">
        <v>8</v>
      </c>
      <c r="H95" s="4">
        <v>14</v>
      </c>
      <c r="I95" s="132"/>
      <c r="J95" s="14"/>
      <c r="K95" s="172"/>
      <c r="L95" s="171"/>
      <c r="M95" s="171"/>
      <c r="N95" s="553"/>
      <c r="O95" s="24"/>
      <c r="P95" s="527"/>
      <c r="Q95" s="99"/>
      <c r="R95" s="12"/>
      <c r="S95" s="12"/>
      <c r="T95" s="12"/>
      <c r="U95" s="12"/>
      <c r="V95" s="12"/>
      <c r="W95" s="12"/>
      <c r="X95" s="81"/>
      <c r="Y95" s="81"/>
      <c r="Z95" s="81"/>
      <c r="AA95" s="81"/>
      <c r="AB95" s="12"/>
      <c r="AC95" s="12"/>
      <c r="AD95" s="12"/>
      <c r="AE95" s="12"/>
      <c r="AF95" s="12"/>
      <c r="AG95" s="12"/>
      <c r="AH95" s="12"/>
      <c r="AI95" s="12"/>
      <c r="AJ95" s="12"/>
      <c r="AK95" s="12"/>
      <c r="AL95" s="12"/>
      <c r="AM95" s="12"/>
      <c r="AN95" s="12"/>
      <c r="AO95" s="12"/>
      <c r="AP95" s="12"/>
      <c r="AQ95" s="12"/>
      <c r="AR95" s="12"/>
      <c r="AS95" s="12"/>
      <c r="AT95" s="12"/>
    </row>
    <row r="96" spans="1:27" s="93" customFormat="1" ht="6.75" customHeight="1">
      <c r="A96" s="203"/>
      <c r="B96" s="13"/>
      <c r="C96" s="13"/>
      <c r="D96" s="13"/>
      <c r="E96" s="13"/>
      <c r="F96" s="13"/>
      <c r="G96" s="13"/>
      <c r="H96" s="13"/>
      <c r="I96" s="15"/>
      <c r="J96" s="13"/>
      <c r="K96" s="89"/>
      <c r="L96" s="204"/>
      <c r="M96" s="204"/>
      <c r="N96" s="204"/>
      <c r="O96" s="26"/>
      <c r="P96" s="372"/>
      <c r="Q96" s="367"/>
      <c r="R96" s="49"/>
      <c r="S96" s="49"/>
      <c r="T96" s="49"/>
      <c r="U96" s="49"/>
      <c r="X96" s="35"/>
      <c r="Y96" s="35"/>
      <c r="Z96" s="35"/>
      <c r="AA96" s="35"/>
    </row>
    <row r="97" spans="1:46" s="93" customFormat="1" ht="15">
      <c r="A97" s="71" t="s">
        <v>23</v>
      </c>
      <c r="B97" s="92" t="s">
        <v>684</v>
      </c>
      <c r="C97" s="17">
        <f aca="true" t="shared" si="32" ref="C97:H97">C70*(1-C90)</f>
        <v>66.1725</v>
      </c>
      <c r="D97" s="17">
        <f t="shared" si="32"/>
        <v>250.58</v>
      </c>
      <c r="E97" s="17">
        <f t="shared" si="32"/>
        <v>272.84999999999997</v>
      </c>
      <c r="F97" s="17">
        <f t="shared" si="32"/>
        <v>350.45</v>
      </c>
      <c r="G97" s="17">
        <f t="shared" si="32"/>
        <v>82.81</v>
      </c>
      <c r="H97" s="17">
        <f t="shared" si="32"/>
        <v>249.9</v>
      </c>
      <c r="I97" s="132">
        <f>SUM(C97:H97)</f>
        <v>1272.7625</v>
      </c>
      <c r="J97" s="14"/>
      <c r="K97" s="172">
        <f>I97</f>
        <v>1272.7625</v>
      </c>
      <c r="L97" s="297">
        <f>L51*(1-L90)</f>
        <v>12.031200000000002</v>
      </c>
      <c r="M97" s="297">
        <f>L97/L101*M101</f>
        <v>2.406240000000001</v>
      </c>
      <c r="N97" s="668">
        <f>L97+M97</f>
        <v>14.437440000000002</v>
      </c>
      <c r="O97" s="24"/>
      <c r="P97" s="877">
        <f>(P250/1000)</f>
        <v>13717.0719</v>
      </c>
      <c r="Q97" s="99"/>
      <c r="R97" s="12"/>
      <c r="S97" s="12"/>
      <c r="T97" s="12"/>
      <c r="U97" s="12"/>
      <c r="V97" s="12"/>
      <c r="W97" s="12"/>
      <c r="X97" s="81"/>
      <c r="Y97" s="81"/>
      <c r="Z97" s="81"/>
      <c r="AA97" s="81"/>
      <c r="AB97" s="12"/>
      <c r="AC97" s="12"/>
      <c r="AD97" s="12"/>
      <c r="AE97" s="12"/>
      <c r="AF97" s="12"/>
      <c r="AG97" s="12"/>
      <c r="AH97" s="12"/>
      <c r="AI97" s="12"/>
      <c r="AJ97" s="12"/>
      <c r="AK97" s="12"/>
      <c r="AL97" s="12"/>
      <c r="AM97" s="12"/>
      <c r="AN97" s="12"/>
      <c r="AO97" s="12"/>
      <c r="AP97" s="12"/>
      <c r="AQ97" s="12"/>
      <c r="AR97" s="12"/>
      <c r="AS97" s="12"/>
      <c r="AT97" s="12"/>
    </row>
    <row r="98" spans="1:46" s="93" customFormat="1" ht="15">
      <c r="A98" s="71" t="s">
        <v>24</v>
      </c>
      <c r="B98" s="92" t="s">
        <v>685</v>
      </c>
      <c r="C98" s="17">
        <f aca="true" t="shared" si="33" ref="C98:H98">C70*(1-C93)</f>
        <v>58.387499999999996</v>
      </c>
      <c r="D98" s="17">
        <f t="shared" si="33"/>
        <v>239.19</v>
      </c>
      <c r="E98" s="17">
        <f t="shared" si="33"/>
        <v>256.8</v>
      </c>
      <c r="F98" s="17">
        <f t="shared" si="33"/>
        <v>370.825</v>
      </c>
      <c r="G98" s="17">
        <f t="shared" si="33"/>
        <v>80.99</v>
      </c>
      <c r="H98" s="17">
        <f t="shared" si="33"/>
        <v>208.73999999999998</v>
      </c>
      <c r="I98" s="132">
        <f>SUM(C98:H98)</f>
        <v>1214.9325000000001</v>
      </c>
      <c r="J98" s="14"/>
      <c r="K98" s="172">
        <f>I98</f>
        <v>1214.9325000000001</v>
      </c>
      <c r="L98" s="297">
        <f>L54*(1-L93)</f>
        <v>4.9895999999999985</v>
      </c>
      <c r="M98" s="297">
        <f>L98/L102*M102</f>
        <v>0.9979199999999999</v>
      </c>
      <c r="N98" s="668">
        <f>L98+M98</f>
        <v>5.987519999999998</v>
      </c>
      <c r="O98" s="24"/>
      <c r="P98" s="877">
        <f>(P251/1000)</f>
        <v>12509.9695728</v>
      </c>
      <c r="Q98" s="99"/>
      <c r="R98" s="12"/>
      <c r="S98" s="12"/>
      <c r="T98" s="12"/>
      <c r="U98" s="12"/>
      <c r="V98" s="12"/>
      <c r="W98" s="12"/>
      <c r="X98" s="81"/>
      <c r="Y98" s="81"/>
      <c r="Z98" s="81"/>
      <c r="AA98" s="81"/>
      <c r="AB98" s="12"/>
      <c r="AC98" s="12"/>
      <c r="AD98" s="12"/>
      <c r="AE98" s="12"/>
      <c r="AF98" s="12"/>
      <c r="AG98" s="12"/>
      <c r="AH98" s="12"/>
      <c r="AI98" s="12"/>
      <c r="AJ98" s="12"/>
      <c r="AK98" s="12"/>
      <c r="AL98" s="12"/>
      <c r="AM98" s="12"/>
      <c r="AN98" s="12"/>
      <c r="AO98" s="12"/>
      <c r="AP98" s="12"/>
      <c r="AQ98" s="12"/>
      <c r="AR98" s="12"/>
      <c r="AS98" s="12"/>
      <c r="AT98" s="12"/>
    </row>
    <row r="99" spans="1:46" s="41" customFormat="1" ht="15">
      <c r="A99" s="73" t="s">
        <v>136</v>
      </c>
      <c r="B99" s="37" t="s">
        <v>393</v>
      </c>
      <c r="C99" s="61">
        <f aca="true" t="shared" si="34" ref="C99:I99">C98-C97</f>
        <v>-7.785000000000004</v>
      </c>
      <c r="D99" s="61">
        <f t="shared" si="34"/>
        <v>-11.390000000000015</v>
      </c>
      <c r="E99" s="61">
        <f t="shared" si="34"/>
        <v>-16.049999999999955</v>
      </c>
      <c r="F99" s="61">
        <f t="shared" si="34"/>
        <v>20.375</v>
      </c>
      <c r="G99" s="61">
        <f t="shared" si="34"/>
        <v>-1.8200000000000074</v>
      </c>
      <c r="H99" s="61">
        <f t="shared" si="34"/>
        <v>-41.160000000000025</v>
      </c>
      <c r="I99" s="268">
        <f t="shared" si="34"/>
        <v>-57.82999999999993</v>
      </c>
      <c r="J99" s="116"/>
      <c r="K99" s="172">
        <f>I99</f>
        <v>-57.82999999999993</v>
      </c>
      <c r="L99" s="61">
        <f>L98-L97</f>
        <v>-7.041600000000003</v>
      </c>
      <c r="M99" s="61">
        <f>M98-M97</f>
        <v>-1.408320000000001</v>
      </c>
      <c r="N99" s="669">
        <f>N98-N97</f>
        <v>-8.449920000000004</v>
      </c>
      <c r="O99" s="531"/>
      <c r="P99" s="877">
        <f>P98-P97</f>
        <v>-1207.1023272000002</v>
      </c>
      <c r="Q99" s="53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row>
    <row r="100" spans="1:46" s="41" customFormat="1" ht="15">
      <c r="A100" s="73" t="s">
        <v>496</v>
      </c>
      <c r="B100" s="37" t="s">
        <v>497</v>
      </c>
      <c r="C100" s="61">
        <f aca="true" t="shared" si="35" ref="C100:I100">C99/C97%</f>
        <v>-11.764705882352947</v>
      </c>
      <c r="D100" s="61">
        <f t="shared" si="35"/>
        <v>-4.545454545454551</v>
      </c>
      <c r="E100" s="61">
        <f t="shared" si="35"/>
        <v>-5.882352941176455</v>
      </c>
      <c r="F100" s="61">
        <f t="shared" si="35"/>
        <v>5.813953488372094</v>
      </c>
      <c r="G100" s="61">
        <f t="shared" si="35"/>
        <v>-2.1978021978022064</v>
      </c>
      <c r="H100" s="61">
        <f t="shared" si="35"/>
        <v>-16.470588235294127</v>
      </c>
      <c r="I100" s="268">
        <f t="shared" si="35"/>
        <v>-4.543659952269173</v>
      </c>
      <c r="J100" s="116"/>
      <c r="K100" s="268">
        <f>K99/K97%</f>
        <v>-4.543659952269173</v>
      </c>
      <c r="L100" s="61">
        <f>L99/L97%</f>
        <v>-58.52782764811492</v>
      </c>
      <c r="M100" s="61">
        <f>M99/M97%</f>
        <v>-58.52782764811492</v>
      </c>
      <c r="N100" s="669">
        <f>N99/N97%</f>
        <v>-58.52782764811492</v>
      </c>
      <c r="O100" s="531"/>
      <c r="P100" s="671">
        <f>P99/P97/10%</f>
        <v>-0.88</v>
      </c>
      <c r="Q100" s="53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row>
    <row r="101" spans="1:46" s="93" customFormat="1" ht="15">
      <c r="A101" s="55" t="s">
        <v>25</v>
      </c>
      <c r="B101" s="92" t="s">
        <v>217</v>
      </c>
      <c r="C101" s="17">
        <f aca="true" t="shared" si="36" ref="C101:H101">SUM(C72:C78)-C85</f>
        <v>68.5</v>
      </c>
      <c r="D101" s="17">
        <f t="shared" si="36"/>
        <v>280</v>
      </c>
      <c r="E101" s="17">
        <f t="shared" si="36"/>
        <v>264.8</v>
      </c>
      <c r="F101" s="17">
        <f t="shared" si="36"/>
        <v>308.5</v>
      </c>
      <c r="G101" s="17">
        <f t="shared" si="36"/>
        <v>82.6</v>
      </c>
      <c r="H101" s="17">
        <f t="shared" si="36"/>
        <v>268</v>
      </c>
      <c r="I101" s="132">
        <f>SUM(C101:H101)</f>
        <v>1272.4</v>
      </c>
      <c r="J101" s="110"/>
      <c r="K101" s="172">
        <f>I101</f>
        <v>1272.4</v>
      </c>
      <c r="L101" s="297">
        <v>6.684</v>
      </c>
      <c r="M101" s="299">
        <f>L101*0.2</f>
        <v>1.3368000000000002</v>
      </c>
      <c r="N101" s="668">
        <f>L101+M101</f>
        <v>8.020800000000001</v>
      </c>
      <c r="O101" s="532"/>
      <c r="P101" s="431">
        <f>-K101</f>
        <v>-1272.4</v>
      </c>
      <c r="Q101" s="535"/>
      <c r="R101" s="12"/>
      <c r="S101" s="12"/>
      <c r="T101" s="12"/>
      <c r="U101" s="12"/>
      <c r="V101" s="12"/>
      <c r="W101" s="12"/>
      <c r="X101" s="81"/>
      <c r="Y101" s="81"/>
      <c r="Z101" s="81"/>
      <c r="AA101" s="81"/>
      <c r="AB101" s="12"/>
      <c r="AC101" s="12"/>
      <c r="AD101" s="12"/>
      <c r="AE101" s="12"/>
      <c r="AF101" s="12"/>
      <c r="AG101" s="12"/>
      <c r="AH101" s="12"/>
      <c r="AI101" s="12"/>
      <c r="AJ101" s="12"/>
      <c r="AK101" s="12"/>
      <c r="AL101" s="12"/>
      <c r="AM101" s="12"/>
      <c r="AN101" s="12"/>
      <c r="AO101" s="12"/>
      <c r="AP101" s="12"/>
      <c r="AQ101" s="12"/>
      <c r="AR101" s="12"/>
      <c r="AS101" s="12"/>
      <c r="AT101" s="12"/>
    </row>
    <row r="102" spans="1:46" s="93" customFormat="1" ht="15">
      <c r="A102" s="710" t="s">
        <v>26</v>
      </c>
      <c r="B102" s="711" t="s">
        <v>370</v>
      </c>
      <c r="C102" s="712">
        <f aca="true" t="shared" si="37" ref="C102:H102">C101*0.99</f>
        <v>67.815</v>
      </c>
      <c r="D102" s="712">
        <f t="shared" si="37"/>
        <v>277.2</v>
      </c>
      <c r="E102" s="712">
        <f t="shared" si="37"/>
        <v>262.152</v>
      </c>
      <c r="F102" s="712">
        <f t="shared" si="37"/>
        <v>305.415</v>
      </c>
      <c r="G102" s="712">
        <f t="shared" si="37"/>
        <v>81.77399999999999</v>
      </c>
      <c r="H102" s="712">
        <f t="shared" si="37"/>
        <v>265.32</v>
      </c>
      <c r="I102" s="713">
        <f>SUM(C102:H102)</f>
        <v>1259.676</v>
      </c>
      <c r="J102" s="110"/>
      <c r="K102" s="714">
        <f>I102</f>
        <v>1259.676</v>
      </c>
      <c r="L102" s="299">
        <v>4.536</v>
      </c>
      <c r="M102" s="299">
        <f>L102*0.2</f>
        <v>0.9072</v>
      </c>
      <c r="N102" s="715">
        <f>L102+M102</f>
        <v>5.443199999999999</v>
      </c>
      <c r="O102" s="532"/>
      <c r="P102" s="431">
        <f>-K102</f>
        <v>-1259.676</v>
      </c>
      <c r="Q102" s="535"/>
      <c r="R102" s="12"/>
      <c r="S102" s="12"/>
      <c r="T102" s="12"/>
      <c r="U102" s="12"/>
      <c r="V102" s="12"/>
      <c r="W102" s="12"/>
      <c r="X102" s="81"/>
      <c r="Y102" s="81"/>
      <c r="Z102" s="81"/>
      <c r="AA102" s="81"/>
      <c r="AB102" s="12"/>
      <c r="AC102" s="12"/>
      <c r="AD102" s="12"/>
      <c r="AE102" s="12"/>
      <c r="AF102" s="12"/>
      <c r="AG102" s="12"/>
      <c r="AH102" s="12"/>
      <c r="AI102" s="12"/>
      <c r="AJ102" s="12"/>
      <c r="AK102" s="12"/>
      <c r="AL102" s="12"/>
      <c r="AM102" s="12"/>
      <c r="AN102" s="12"/>
      <c r="AO102" s="12"/>
      <c r="AP102" s="12"/>
      <c r="AQ102" s="12"/>
      <c r="AR102" s="12"/>
      <c r="AS102" s="12"/>
      <c r="AT102" s="12"/>
    </row>
    <row r="103" spans="1:17" ht="15">
      <c r="A103" s="710" t="s">
        <v>27</v>
      </c>
      <c r="B103" s="92" t="s">
        <v>513</v>
      </c>
      <c r="C103" s="716"/>
      <c r="D103" s="716"/>
      <c r="E103" s="716"/>
      <c r="F103" s="716"/>
      <c r="G103" s="716"/>
      <c r="H103" s="716"/>
      <c r="I103" s="717"/>
      <c r="J103" s="716"/>
      <c r="K103" s="717"/>
      <c r="L103" s="716"/>
      <c r="M103" s="716"/>
      <c r="N103" s="716"/>
      <c r="O103" s="718"/>
      <c r="P103" s="527">
        <f>P104*0.9</f>
        <v>-1721.7</v>
      </c>
      <c r="Q103" s="535"/>
    </row>
    <row r="104" spans="1:17" ht="15">
      <c r="A104" s="710" t="s">
        <v>28</v>
      </c>
      <c r="B104" s="92" t="s">
        <v>514</v>
      </c>
      <c r="C104" s="716"/>
      <c r="D104" s="716"/>
      <c r="E104" s="716"/>
      <c r="F104" s="716"/>
      <c r="G104" s="716"/>
      <c r="H104" s="716"/>
      <c r="I104" s="717"/>
      <c r="J104" s="716"/>
      <c r="K104" s="717"/>
      <c r="L104" s="716"/>
      <c r="M104" s="716"/>
      <c r="N104" s="716"/>
      <c r="O104" s="718"/>
      <c r="P104" s="719">
        <v>-1913</v>
      </c>
      <c r="Q104" s="535"/>
    </row>
    <row r="105" spans="1:27" s="93" customFormat="1" ht="6.75" customHeight="1">
      <c r="A105" s="203"/>
      <c r="B105" s="13"/>
      <c r="C105" s="13"/>
      <c r="D105" s="13"/>
      <c r="E105" s="13"/>
      <c r="F105" s="13"/>
      <c r="G105" s="13"/>
      <c r="H105" s="13"/>
      <c r="I105" s="15"/>
      <c r="J105" s="13"/>
      <c r="K105" s="89"/>
      <c r="L105" s="204"/>
      <c r="M105" s="204"/>
      <c r="N105" s="579"/>
      <c r="O105" s="26"/>
      <c r="P105" s="372"/>
      <c r="Q105" s="367"/>
      <c r="R105" s="49"/>
      <c r="S105" s="49"/>
      <c r="T105" s="49"/>
      <c r="U105" s="49"/>
      <c r="X105" s="35"/>
      <c r="Y105" s="35"/>
      <c r="Z105" s="35"/>
      <c r="AA105" s="35"/>
    </row>
    <row r="106" spans="1:46" s="41" customFormat="1" ht="15">
      <c r="A106" s="73" t="s">
        <v>688</v>
      </c>
      <c r="B106" s="115" t="s">
        <v>395</v>
      </c>
      <c r="C106" s="38">
        <f aca="true" t="shared" si="38" ref="C106:I107">(C97/C101)*100</f>
        <v>96.60218978102189</v>
      </c>
      <c r="D106" s="38">
        <f t="shared" si="38"/>
        <v>89.49285714285715</v>
      </c>
      <c r="E106" s="38">
        <f t="shared" si="38"/>
        <v>103.04003021148034</v>
      </c>
      <c r="F106" s="38">
        <f t="shared" si="38"/>
        <v>113.59805510534846</v>
      </c>
      <c r="G106" s="38">
        <f t="shared" si="38"/>
        <v>100.25423728813561</v>
      </c>
      <c r="H106" s="38">
        <f t="shared" si="38"/>
        <v>93.24626865671642</v>
      </c>
      <c r="I106" s="249">
        <f t="shared" si="38"/>
        <v>100.02848946872052</v>
      </c>
      <c r="J106" s="116"/>
      <c r="K106" s="181">
        <f>I106</f>
        <v>100.02848946872052</v>
      </c>
      <c r="L106" s="236">
        <f aca="true" t="shared" si="39" ref="L106:N107">(L97/L101)*100</f>
        <v>180.00000000000003</v>
      </c>
      <c r="M106" s="236">
        <f t="shared" si="39"/>
        <v>180.00000000000003</v>
      </c>
      <c r="N106" s="249">
        <f t="shared" si="39"/>
        <v>180</v>
      </c>
      <c r="O106" s="531"/>
      <c r="P106" s="541"/>
      <c r="Q106" s="53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row>
    <row r="107" spans="1:46" s="41" customFormat="1" ht="15.75" thickBot="1">
      <c r="A107" s="74" t="s">
        <v>689</v>
      </c>
      <c r="B107" s="67" t="s">
        <v>396</v>
      </c>
      <c r="C107" s="117">
        <f t="shared" si="38"/>
        <v>86.09820836098207</v>
      </c>
      <c r="D107" s="117">
        <f t="shared" si="38"/>
        <v>86.2878787878788</v>
      </c>
      <c r="E107" s="117">
        <f t="shared" si="38"/>
        <v>97.9584363270164</v>
      </c>
      <c r="F107" s="117">
        <f t="shared" si="38"/>
        <v>121.41676080087748</v>
      </c>
      <c r="G107" s="117">
        <f t="shared" si="38"/>
        <v>99.04126005820922</v>
      </c>
      <c r="H107" s="117">
        <f t="shared" si="38"/>
        <v>78.67480777928539</v>
      </c>
      <c r="I107" s="252">
        <f t="shared" si="38"/>
        <v>96.44801520390959</v>
      </c>
      <c r="J107" s="69"/>
      <c r="K107" s="182">
        <f>I107</f>
        <v>96.44801520390959</v>
      </c>
      <c r="L107" s="180">
        <f t="shared" si="39"/>
        <v>109.99999999999999</v>
      </c>
      <c r="M107" s="180">
        <f t="shared" si="39"/>
        <v>109.99999999999999</v>
      </c>
      <c r="N107" s="252">
        <f t="shared" si="39"/>
        <v>109.99999999999999</v>
      </c>
      <c r="O107" s="533"/>
      <c r="P107" s="542"/>
      <c r="Q107" s="369"/>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row>
    <row r="108" spans="1:18" ht="15.75" thickBot="1">
      <c r="A108" s="114"/>
      <c r="B108" s="5"/>
      <c r="C108" s="5"/>
      <c r="D108" s="5"/>
      <c r="E108" s="5"/>
      <c r="F108" s="5"/>
      <c r="G108" s="5"/>
      <c r="H108" s="5"/>
      <c r="I108" s="134"/>
      <c r="J108" s="5"/>
      <c r="K108" s="134"/>
      <c r="L108" s="5"/>
      <c r="M108" s="5"/>
      <c r="N108" s="5"/>
      <c r="O108" s="5"/>
      <c r="P108" s="5"/>
      <c r="Q108" s="5"/>
      <c r="R108" s="12"/>
    </row>
    <row r="109" spans="1:46" s="50" customFormat="1" ht="18.75" customHeight="1">
      <c r="A109" s="1036" t="s">
        <v>798</v>
      </c>
      <c r="B109" s="1037"/>
      <c r="C109" s="1101" t="s">
        <v>35</v>
      </c>
      <c r="D109" s="1102"/>
      <c r="E109" s="1102"/>
      <c r="F109" s="1102"/>
      <c r="G109" s="1102"/>
      <c r="H109" s="1102"/>
      <c r="I109" s="1102"/>
      <c r="J109" s="1103"/>
      <c r="K109" s="1048" t="s">
        <v>295</v>
      </c>
      <c r="L109" s="1098" t="s">
        <v>0</v>
      </c>
      <c r="M109" s="1097"/>
      <c r="N109" s="1097"/>
      <c r="O109" s="1100"/>
      <c r="P109" s="499" t="s">
        <v>2</v>
      </c>
      <c r="Q109" s="1053" t="s">
        <v>329</v>
      </c>
      <c r="R109" s="57"/>
      <c r="S109" s="57"/>
      <c r="T109" s="57"/>
      <c r="U109" s="96"/>
      <c r="V109" s="96"/>
      <c r="W109" s="96"/>
      <c r="X109" s="358"/>
      <c r="Y109" s="358"/>
      <c r="Z109" s="358"/>
      <c r="AA109" s="358"/>
      <c r="AB109" s="96"/>
      <c r="AC109" s="96"/>
      <c r="AD109" s="96"/>
      <c r="AE109" s="96"/>
      <c r="AF109" s="96"/>
      <c r="AG109" s="96"/>
      <c r="AH109" s="96"/>
      <c r="AI109" s="96"/>
      <c r="AJ109" s="96"/>
      <c r="AK109" s="96"/>
      <c r="AL109" s="96"/>
      <c r="AM109" s="96"/>
      <c r="AN109" s="96"/>
      <c r="AO109" s="96"/>
      <c r="AP109" s="96"/>
      <c r="AQ109" s="96"/>
      <c r="AR109" s="96"/>
      <c r="AS109" s="96"/>
      <c r="AT109" s="96"/>
    </row>
    <row r="110" spans="1:46" s="32" customFormat="1" ht="60.75" thickBot="1">
      <c r="A110" s="1040"/>
      <c r="B110" s="1041"/>
      <c r="C110" s="152" t="s">
        <v>149</v>
      </c>
      <c r="D110" s="152" t="s">
        <v>150</v>
      </c>
      <c r="E110" s="152" t="s">
        <v>153</v>
      </c>
      <c r="F110" s="152" t="s">
        <v>151</v>
      </c>
      <c r="G110" s="152" t="s">
        <v>152</v>
      </c>
      <c r="H110" s="152" t="s">
        <v>32</v>
      </c>
      <c r="I110" s="153" t="s">
        <v>1</v>
      </c>
      <c r="J110" s="152" t="s">
        <v>340</v>
      </c>
      <c r="K110" s="1049"/>
      <c r="L110" s="353" t="s">
        <v>293</v>
      </c>
      <c r="M110" s="152" t="s">
        <v>291</v>
      </c>
      <c r="N110" s="354" t="s">
        <v>297</v>
      </c>
      <c r="O110" s="371" t="s">
        <v>495</v>
      </c>
      <c r="P110" s="371" t="s">
        <v>495</v>
      </c>
      <c r="Q110" s="1054"/>
      <c r="R110" s="57"/>
      <c r="S110" s="57"/>
      <c r="T110" s="57"/>
      <c r="U110" s="85"/>
      <c r="V110" s="85"/>
      <c r="W110" s="85"/>
      <c r="X110" s="81"/>
      <c r="Y110" s="81"/>
      <c r="Z110" s="81"/>
      <c r="AA110" s="81"/>
      <c r="AB110" s="85"/>
      <c r="AC110" s="85"/>
      <c r="AD110" s="85"/>
      <c r="AE110" s="85"/>
      <c r="AF110" s="85"/>
      <c r="AG110" s="85"/>
      <c r="AH110" s="85"/>
      <c r="AI110" s="85"/>
      <c r="AJ110" s="85"/>
      <c r="AK110" s="85"/>
      <c r="AL110" s="85"/>
      <c r="AM110" s="85"/>
      <c r="AN110" s="85"/>
      <c r="AO110" s="85"/>
      <c r="AP110" s="85"/>
      <c r="AQ110" s="85"/>
      <c r="AR110" s="85"/>
      <c r="AS110" s="85"/>
      <c r="AT110" s="85"/>
    </row>
    <row r="111" spans="1:27" s="169" customFormat="1" ht="15.75">
      <c r="A111" s="1062" t="s">
        <v>704</v>
      </c>
      <c r="B111" s="1063"/>
      <c r="C111" s="1063"/>
      <c r="D111" s="1063"/>
      <c r="E111" s="1063"/>
      <c r="F111" s="1063"/>
      <c r="G111" s="1063"/>
      <c r="H111" s="1063"/>
      <c r="I111" s="1063"/>
      <c r="J111" s="1063"/>
      <c r="K111" s="1064"/>
      <c r="L111" s="375"/>
      <c r="M111" s="376"/>
      <c r="N111" s="376"/>
      <c r="O111" s="377"/>
      <c r="P111" s="378"/>
      <c r="Q111" s="379"/>
      <c r="R111" s="185"/>
      <c r="S111" s="185"/>
      <c r="T111" s="185"/>
      <c r="U111" s="168"/>
      <c r="X111" s="357"/>
      <c r="Y111" s="357"/>
      <c r="Z111" s="357"/>
      <c r="AA111" s="357"/>
    </row>
    <row r="112" spans="1:46" s="32" customFormat="1" ht="15">
      <c r="A112" s="75" t="s">
        <v>36</v>
      </c>
      <c r="B112" s="31" t="s">
        <v>705</v>
      </c>
      <c r="C112" s="9">
        <f aca="true" t="shared" si="40" ref="C112:H112">C113+C115+C117+C119</f>
        <v>1390997.5184931268</v>
      </c>
      <c r="D112" s="9">
        <f t="shared" si="40"/>
        <v>2996992.5916478965</v>
      </c>
      <c r="E112" s="9">
        <f t="shared" si="40"/>
        <v>2352990.3496318925</v>
      </c>
      <c r="F112" s="9">
        <f t="shared" si="40"/>
        <v>2706747.5772858197</v>
      </c>
      <c r="G112" s="9">
        <f t="shared" si="40"/>
        <v>1721694.9274711495</v>
      </c>
      <c r="H112" s="9">
        <f t="shared" si="40"/>
        <v>6056896.544887612</v>
      </c>
      <c r="I112" s="132">
        <f aca="true" t="shared" si="41" ref="I112:I120">SUM(C112:H112)</f>
        <v>17226319.509417497</v>
      </c>
      <c r="J112" s="240">
        <f>I112</f>
        <v>17226319.509417497</v>
      </c>
      <c r="K112" s="172">
        <f>I112</f>
        <v>17226319.509417497</v>
      </c>
      <c r="L112" s="301"/>
      <c r="M112" s="301"/>
      <c r="N112" s="301"/>
      <c r="O112" s="302"/>
      <c r="P112" s="388"/>
      <c r="Q112" s="374"/>
      <c r="R112" s="85"/>
      <c r="S112" s="85"/>
      <c r="T112" s="85"/>
      <c r="U112" s="85"/>
      <c r="V112" s="85"/>
      <c r="W112" s="85"/>
      <c r="X112" s="81"/>
      <c r="Y112" s="81"/>
      <c r="Z112" s="81"/>
      <c r="AA112" s="81"/>
      <c r="AB112" s="85"/>
      <c r="AC112" s="85"/>
      <c r="AD112" s="85"/>
      <c r="AE112" s="85"/>
      <c r="AF112" s="85"/>
      <c r="AG112" s="85"/>
      <c r="AH112" s="85"/>
      <c r="AI112" s="85"/>
      <c r="AJ112" s="85"/>
      <c r="AK112" s="85"/>
      <c r="AL112" s="85"/>
      <c r="AM112" s="85"/>
      <c r="AN112" s="85"/>
      <c r="AO112" s="85"/>
      <c r="AP112" s="85"/>
      <c r="AQ112" s="85"/>
      <c r="AR112" s="85"/>
      <c r="AS112" s="85"/>
      <c r="AT112" s="85"/>
    </row>
    <row r="113" spans="1:21" s="35" customFormat="1" ht="15">
      <c r="A113" s="75" t="s">
        <v>53</v>
      </c>
      <c r="B113" s="989" t="s">
        <v>59</v>
      </c>
      <c r="C113" s="10">
        <v>1373346.1012571373</v>
      </c>
      <c r="D113" s="10">
        <v>2957501.505187397</v>
      </c>
      <c r="E113" s="10">
        <v>2321985.219490099</v>
      </c>
      <c r="F113" s="10">
        <v>2671081.021786406</v>
      </c>
      <c r="G113" s="10">
        <v>1699008.3170908478</v>
      </c>
      <c r="H113" s="10">
        <v>5977085.394935807</v>
      </c>
      <c r="I113" s="132">
        <f t="shared" si="41"/>
        <v>17000007.559747696</v>
      </c>
      <c r="J113" s="51">
        <f>I113</f>
        <v>17000007.559747696</v>
      </c>
      <c r="K113" s="172">
        <f aca="true" t="shared" si="42" ref="K113:K118">I113</f>
        <v>17000007.559747696</v>
      </c>
      <c r="L113" s="303"/>
      <c r="M113" s="303"/>
      <c r="N113" s="303"/>
      <c r="O113" s="304"/>
      <c r="P113" s="391"/>
      <c r="Q113" s="373"/>
      <c r="R113" s="81"/>
      <c r="S113" s="81"/>
      <c r="T113" s="81"/>
      <c r="U113" s="82"/>
    </row>
    <row r="114" spans="1:21" s="41" customFormat="1" ht="15">
      <c r="A114" s="146" t="s">
        <v>230</v>
      </c>
      <c r="B114" s="147" t="s">
        <v>238</v>
      </c>
      <c r="C114" s="143">
        <f>C113*0.01</f>
        <v>13733.461012571373</v>
      </c>
      <c r="D114" s="143">
        <f>D113*0.02</f>
        <v>59150.03010374794</v>
      </c>
      <c r="E114" s="143">
        <f>E113*0.02</f>
        <v>46439.704389801984</v>
      </c>
      <c r="F114" s="143">
        <f>F113*0.02</f>
        <v>53421.620435728124</v>
      </c>
      <c r="G114" s="143">
        <f>G113*0.005</f>
        <v>8495.041585454239</v>
      </c>
      <c r="H114" s="143">
        <f>H113*0.02</f>
        <v>119541.70789871615</v>
      </c>
      <c r="I114" s="249">
        <f t="shared" si="41"/>
        <v>300781.56542601984</v>
      </c>
      <c r="J114" s="132">
        <f>I114</f>
        <v>300781.56542601984</v>
      </c>
      <c r="K114" s="186">
        <f t="shared" si="42"/>
        <v>300781.56542601984</v>
      </c>
      <c r="L114" s="305"/>
      <c r="M114" s="305"/>
      <c r="N114" s="305"/>
      <c r="O114" s="306"/>
      <c r="P114" s="514"/>
      <c r="Q114" s="368"/>
      <c r="R114" s="84"/>
      <c r="S114" s="84"/>
      <c r="T114" s="84"/>
      <c r="U114" s="66"/>
    </row>
    <row r="115" spans="1:21" s="35" customFormat="1" ht="15">
      <c r="A115" s="75" t="s">
        <v>54</v>
      </c>
      <c r="B115" s="989" t="s">
        <v>372</v>
      </c>
      <c r="C115" s="10">
        <f>C113*0.001</f>
        <v>1373.3461012571372</v>
      </c>
      <c r="D115" s="10">
        <f>D113*0.0015</f>
        <v>4436.252257781095</v>
      </c>
      <c r="E115" s="10">
        <f>E113*0.0015</f>
        <v>3482.977829235149</v>
      </c>
      <c r="F115" s="10">
        <f>F113*0.0015</f>
        <v>4006.621532679609</v>
      </c>
      <c r="G115" s="10">
        <f>G113*0.0015</f>
        <v>2548.5124756362716</v>
      </c>
      <c r="H115" s="10">
        <f>H113*0.0015</f>
        <v>8965.628092403711</v>
      </c>
      <c r="I115" s="132">
        <f t="shared" si="41"/>
        <v>24813.33828899297</v>
      </c>
      <c r="J115" s="51">
        <f>I115</f>
        <v>24813.33828899297</v>
      </c>
      <c r="K115" s="172">
        <f t="shared" si="42"/>
        <v>24813.33828899297</v>
      </c>
      <c r="L115" s="303"/>
      <c r="M115" s="303"/>
      <c r="N115" s="303"/>
      <c r="O115" s="304"/>
      <c r="P115" s="391"/>
      <c r="Q115" s="373"/>
      <c r="R115" s="81"/>
      <c r="S115" s="81"/>
      <c r="T115" s="81"/>
      <c r="U115" s="82"/>
    </row>
    <row r="116" spans="1:21" s="41" customFormat="1" ht="15">
      <c r="A116" s="146" t="s">
        <v>231</v>
      </c>
      <c r="B116" s="147" t="s">
        <v>239</v>
      </c>
      <c r="C116" s="39">
        <v>0.01</v>
      </c>
      <c r="D116" s="39">
        <v>0.01</v>
      </c>
      <c r="E116" s="39">
        <v>0.01</v>
      </c>
      <c r="F116" s="39">
        <v>0.01</v>
      </c>
      <c r="G116" s="39">
        <v>0.01</v>
      </c>
      <c r="H116" s="39">
        <v>0.01</v>
      </c>
      <c r="I116" s="269">
        <f t="shared" si="41"/>
        <v>0.060000000000000005</v>
      </c>
      <c r="J116" s="39">
        <v>0</v>
      </c>
      <c r="K116" s="187">
        <f t="shared" si="42"/>
        <v>0.060000000000000005</v>
      </c>
      <c r="L116" s="305"/>
      <c r="M116" s="305"/>
      <c r="N116" s="305"/>
      <c r="O116" s="306"/>
      <c r="P116" s="514"/>
      <c r="Q116" s="368"/>
      <c r="R116" s="84"/>
      <c r="S116" s="84"/>
      <c r="T116" s="84"/>
      <c r="U116" s="66"/>
    </row>
    <row r="117" spans="1:27" s="32" customFormat="1" ht="15">
      <c r="A117" s="75" t="s">
        <v>55</v>
      </c>
      <c r="B117" s="989" t="s">
        <v>60</v>
      </c>
      <c r="C117" s="10">
        <v>4069.517783683101</v>
      </c>
      <c r="D117" s="10">
        <v>8763.708550679588</v>
      </c>
      <c r="E117" s="10">
        <v>6880.538078139579</v>
      </c>
      <c r="F117" s="10">
        <v>7914.98349168355</v>
      </c>
      <c r="G117" s="10">
        <v>5034.52447616636</v>
      </c>
      <c r="H117" s="10">
        <v>17711.380464850165</v>
      </c>
      <c r="I117" s="132">
        <f t="shared" si="41"/>
        <v>50374.65284520234</v>
      </c>
      <c r="J117" s="51">
        <f aca="true" t="shared" si="43" ref="J117:J130">I117</f>
        <v>50374.65284520234</v>
      </c>
      <c r="K117" s="172">
        <f t="shared" si="42"/>
        <v>50374.65284520234</v>
      </c>
      <c r="L117" s="303"/>
      <c r="M117" s="303"/>
      <c r="N117" s="303"/>
      <c r="O117" s="304"/>
      <c r="P117" s="391"/>
      <c r="Q117" s="373"/>
      <c r="R117" s="81"/>
      <c r="S117" s="81"/>
      <c r="T117" s="81"/>
      <c r="U117" s="83"/>
      <c r="X117" s="35"/>
      <c r="Y117" s="35"/>
      <c r="Z117" s="35"/>
      <c r="AA117" s="35"/>
    </row>
    <row r="118" spans="1:27" s="123" customFormat="1" ht="15">
      <c r="A118" s="146" t="s">
        <v>232</v>
      </c>
      <c r="B118" s="147" t="s">
        <v>240</v>
      </c>
      <c r="C118" s="39">
        <v>0.01</v>
      </c>
      <c r="D118" s="39">
        <v>0.01</v>
      </c>
      <c r="E118" s="39">
        <v>0.01</v>
      </c>
      <c r="F118" s="39">
        <v>0.01</v>
      </c>
      <c r="G118" s="39">
        <v>0.01</v>
      </c>
      <c r="H118" s="39">
        <v>0.01</v>
      </c>
      <c r="I118" s="269">
        <f t="shared" si="41"/>
        <v>0.060000000000000005</v>
      </c>
      <c r="J118" s="39">
        <f t="shared" si="43"/>
        <v>0.060000000000000005</v>
      </c>
      <c r="K118" s="187">
        <f t="shared" si="42"/>
        <v>0.060000000000000005</v>
      </c>
      <c r="L118" s="305"/>
      <c r="M118" s="305"/>
      <c r="N118" s="305"/>
      <c r="O118" s="306"/>
      <c r="P118" s="514"/>
      <c r="Q118" s="368"/>
      <c r="R118" s="84"/>
      <c r="S118" s="84"/>
      <c r="T118" s="84"/>
      <c r="U118" s="124"/>
      <c r="X118" s="41"/>
      <c r="Y118" s="41"/>
      <c r="Z118" s="41"/>
      <c r="AA118" s="41"/>
    </row>
    <row r="119" spans="1:27" s="32" customFormat="1" ht="15">
      <c r="A119" s="75" t="s">
        <v>56</v>
      </c>
      <c r="B119" s="989" t="s">
        <v>61</v>
      </c>
      <c r="C119" s="10">
        <v>12208.553351049302</v>
      </c>
      <c r="D119" s="10">
        <v>26291.125652038765</v>
      </c>
      <c r="E119" s="10">
        <v>20641.614234418736</v>
      </c>
      <c r="F119" s="10">
        <v>23744.95047505065</v>
      </c>
      <c r="G119" s="10">
        <v>15103.57342849908</v>
      </c>
      <c r="H119" s="10">
        <v>53134.14139455049</v>
      </c>
      <c r="I119" s="132">
        <f t="shared" si="41"/>
        <v>151123.95853560703</v>
      </c>
      <c r="J119" s="51">
        <f t="shared" si="43"/>
        <v>151123.95853560703</v>
      </c>
      <c r="K119" s="172">
        <f>J119</f>
        <v>151123.95853560703</v>
      </c>
      <c r="L119" s="303"/>
      <c r="M119" s="303"/>
      <c r="N119" s="303"/>
      <c r="O119" s="304"/>
      <c r="P119" s="391"/>
      <c r="Q119" s="373"/>
      <c r="R119" s="81"/>
      <c r="S119" s="81"/>
      <c r="T119" s="81"/>
      <c r="U119" s="83"/>
      <c r="X119" s="35"/>
      <c r="Y119" s="35"/>
      <c r="Z119" s="35"/>
      <c r="AA119" s="35"/>
    </row>
    <row r="120" spans="1:21" s="41" customFormat="1" ht="15">
      <c r="A120" s="146" t="s">
        <v>233</v>
      </c>
      <c r="B120" s="147" t="s">
        <v>241</v>
      </c>
      <c r="C120" s="143">
        <f aca="true" t="shared" si="44" ref="C120:H120">C119*0.1</f>
        <v>1220.8553351049302</v>
      </c>
      <c r="D120" s="143">
        <f t="shared" si="44"/>
        <v>2629.112565203877</v>
      </c>
      <c r="E120" s="143">
        <f t="shared" si="44"/>
        <v>2064.1614234418735</v>
      </c>
      <c r="F120" s="143">
        <f t="shared" si="44"/>
        <v>2374.495047505065</v>
      </c>
      <c r="G120" s="143">
        <f t="shared" si="44"/>
        <v>1510.357342849908</v>
      </c>
      <c r="H120" s="143">
        <f t="shared" si="44"/>
        <v>5313.41413945505</v>
      </c>
      <c r="I120" s="249">
        <f t="shared" si="41"/>
        <v>15112.395853560702</v>
      </c>
      <c r="J120" s="143">
        <f t="shared" si="43"/>
        <v>15112.395853560702</v>
      </c>
      <c r="K120" s="186">
        <f>J120</f>
        <v>15112.395853560702</v>
      </c>
      <c r="L120" s="305"/>
      <c r="M120" s="305"/>
      <c r="N120" s="305"/>
      <c r="O120" s="313"/>
      <c r="P120" s="393"/>
      <c r="Q120" s="368"/>
      <c r="R120" s="84"/>
      <c r="S120" s="84"/>
      <c r="T120" s="84"/>
      <c r="U120" s="66"/>
    </row>
    <row r="121" spans="1:27" s="93" customFormat="1" ht="6.75" customHeight="1">
      <c r="A121" s="203"/>
      <c r="B121" s="13"/>
      <c r="C121" s="13"/>
      <c r="D121" s="13"/>
      <c r="E121" s="13"/>
      <c r="F121" s="13"/>
      <c r="G121" s="13"/>
      <c r="H121" s="13"/>
      <c r="I121" s="15"/>
      <c r="J121" s="13"/>
      <c r="K121" s="89"/>
      <c r="L121" s="204"/>
      <c r="M121" s="204"/>
      <c r="N121" s="204"/>
      <c r="O121" s="26"/>
      <c r="P121" s="372"/>
      <c r="Q121" s="367"/>
      <c r="R121" s="49"/>
      <c r="S121" s="49"/>
      <c r="T121" s="49"/>
      <c r="U121" s="49"/>
      <c r="X121" s="35"/>
      <c r="Y121" s="35"/>
      <c r="Z121" s="35"/>
      <c r="AA121" s="35"/>
    </row>
    <row r="122" spans="1:46" s="32" customFormat="1" ht="15">
      <c r="A122" s="75" t="s">
        <v>37</v>
      </c>
      <c r="B122" s="31" t="s">
        <v>706</v>
      </c>
      <c r="C122" s="9">
        <f aca="true" t="shared" si="45" ref="C122:H122">C123+C125+C127+C129</f>
        <v>1339097.4574995032</v>
      </c>
      <c r="D122" s="9">
        <f t="shared" si="45"/>
        <v>2885153.954428716</v>
      </c>
      <c r="E122" s="9">
        <f t="shared" si="45"/>
        <v>2265183.91499936</v>
      </c>
      <c r="F122" s="9">
        <f t="shared" si="45"/>
        <v>2605740.0001621423</v>
      </c>
      <c r="G122" s="9">
        <f t="shared" si="45"/>
        <v>1657446.5156024788</v>
      </c>
      <c r="H122" s="9">
        <f t="shared" si="45"/>
        <v>5830871.610009369</v>
      </c>
      <c r="I122" s="132">
        <f>SUM(C122:H122)</f>
        <v>16583493.452701572</v>
      </c>
      <c r="J122" s="240">
        <f>I122</f>
        <v>16583493.452701572</v>
      </c>
      <c r="K122" s="172">
        <f>I122</f>
        <v>16583493.452701572</v>
      </c>
      <c r="L122" s="301"/>
      <c r="M122" s="301"/>
      <c r="N122" s="301"/>
      <c r="O122" s="302"/>
      <c r="P122" s="388"/>
      <c r="Q122" s="374"/>
      <c r="R122" s="85"/>
      <c r="S122" s="85"/>
      <c r="T122" s="85"/>
      <c r="U122" s="85"/>
      <c r="V122" s="85"/>
      <c r="W122" s="85"/>
      <c r="X122" s="81"/>
      <c r="Y122" s="81"/>
      <c r="Z122" s="81"/>
      <c r="AA122" s="81"/>
      <c r="AB122" s="85"/>
      <c r="AC122" s="85"/>
      <c r="AD122" s="85"/>
      <c r="AE122" s="85"/>
      <c r="AF122" s="85"/>
      <c r="AG122" s="85"/>
      <c r="AH122" s="85"/>
      <c r="AI122" s="85"/>
      <c r="AJ122" s="85"/>
      <c r="AK122" s="85"/>
      <c r="AL122" s="85"/>
      <c r="AM122" s="85"/>
      <c r="AN122" s="85"/>
      <c r="AO122" s="85"/>
      <c r="AP122" s="85"/>
      <c r="AQ122" s="85"/>
      <c r="AR122" s="85"/>
      <c r="AS122" s="85"/>
      <c r="AT122" s="85"/>
    </row>
    <row r="123" spans="1:21" s="35" customFormat="1" ht="15">
      <c r="A123" s="75" t="s">
        <v>66</v>
      </c>
      <c r="B123" s="989" t="s">
        <v>59</v>
      </c>
      <c r="C123" s="10">
        <f aca="true" t="shared" si="46" ref="C123:H123">C112*0.95</f>
        <v>1321447.6425684704</v>
      </c>
      <c r="D123" s="10">
        <f t="shared" si="46"/>
        <v>2847142.9620655016</v>
      </c>
      <c r="E123" s="10">
        <f t="shared" si="46"/>
        <v>2235340.8321502977</v>
      </c>
      <c r="F123" s="10">
        <f t="shared" si="46"/>
        <v>2571410.1984215286</v>
      </c>
      <c r="G123" s="10">
        <f t="shared" si="46"/>
        <v>1635610.181097592</v>
      </c>
      <c r="H123" s="10">
        <f t="shared" si="46"/>
        <v>5754051.717643231</v>
      </c>
      <c r="I123" s="132">
        <f>SUM(C123:H123)</f>
        <v>16365003.53394662</v>
      </c>
      <c r="J123" s="51">
        <f>I123</f>
        <v>16365003.53394662</v>
      </c>
      <c r="K123" s="172">
        <f>I123</f>
        <v>16365003.53394662</v>
      </c>
      <c r="L123" s="303"/>
      <c r="M123" s="303"/>
      <c r="N123" s="303"/>
      <c r="O123" s="304"/>
      <c r="P123" s="391"/>
      <c r="Q123" s="373"/>
      <c r="R123" s="81"/>
      <c r="S123" s="81"/>
      <c r="T123" s="81"/>
      <c r="U123" s="82"/>
    </row>
    <row r="124" spans="1:21" s="41" customFormat="1" ht="15">
      <c r="A124" s="146" t="s">
        <v>234</v>
      </c>
      <c r="B124" s="147" t="s">
        <v>238</v>
      </c>
      <c r="C124" s="143">
        <f>C123*0.01</f>
        <v>13214.476425684705</v>
      </c>
      <c r="D124" s="143">
        <f>D123*0.02</f>
        <v>56942.859241310034</v>
      </c>
      <c r="E124" s="143">
        <f>E123*0.02</f>
        <v>44706.81664300596</v>
      </c>
      <c r="F124" s="143">
        <f>F123*0.02</f>
        <v>51428.20396843057</v>
      </c>
      <c r="G124" s="143">
        <f>G123*0.005</f>
        <v>8178.05090548796</v>
      </c>
      <c r="H124" s="143">
        <f>H123*0.02</f>
        <v>115081.03435286462</v>
      </c>
      <c r="I124" s="249">
        <f>SUM(C124:H124)</f>
        <v>289551.4415367839</v>
      </c>
      <c r="J124" s="132">
        <f>I124</f>
        <v>289551.4415367839</v>
      </c>
      <c r="K124" s="186">
        <f>I124</f>
        <v>289551.4415367839</v>
      </c>
      <c r="L124" s="305"/>
      <c r="M124" s="305"/>
      <c r="N124" s="305"/>
      <c r="O124" s="306"/>
      <c r="P124" s="514"/>
      <c r="Q124" s="368"/>
      <c r="R124" s="84"/>
      <c r="S124" s="84"/>
      <c r="T124" s="84"/>
      <c r="U124" s="66"/>
    </row>
    <row r="125" spans="1:21" s="35" customFormat="1" ht="15">
      <c r="A125" s="75" t="s">
        <v>67</v>
      </c>
      <c r="B125" s="989" t="s">
        <v>372</v>
      </c>
      <c r="C125" s="10">
        <f aca="true" t="shared" si="47" ref="C125:H125">C123*0.0015</f>
        <v>1982.1714638527058</v>
      </c>
      <c r="D125" s="10">
        <f t="shared" si="47"/>
        <v>4270.714443098253</v>
      </c>
      <c r="E125" s="10">
        <f t="shared" si="47"/>
        <v>3353.0112482254467</v>
      </c>
      <c r="F125" s="10">
        <f t="shared" si="47"/>
        <v>3857.115297632293</v>
      </c>
      <c r="G125" s="10">
        <f t="shared" si="47"/>
        <v>2453.415271646388</v>
      </c>
      <c r="H125" s="10">
        <f t="shared" si="47"/>
        <v>8631.077576464846</v>
      </c>
      <c r="I125" s="132">
        <f aca="true" t="shared" si="48" ref="I125:I130">SUM(C125:H125)</f>
        <v>24547.505300919933</v>
      </c>
      <c r="J125" s="51">
        <f>I125</f>
        <v>24547.505300919933</v>
      </c>
      <c r="K125" s="172">
        <f>I125</f>
        <v>24547.505300919933</v>
      </c>
      <c r="L125" s="303"/>
      <c r="M125" s="303"/>
      <c r="N125" s="303"/>
      <c r="O125" s="304"/>
      <c r="P125" s="391"/>
      <c r="Q125" s="373"/>
      <c r="R125" s="81"/>
      <c r="S125" s="81"/>
      <c r="T125" s="81"/>
      <c r="U125" s="82"/>
    </row>
    <row r="126" spans="1:21" s="41" customFormat="1" ht="15">
      <c r="A126" s="146" t="s">
        <v>235</v>
      </c>
      <c r="B126" s="147" t="s">
        <v>239</v>
      </c>
      <c r="C126" s="39">
        <v>0.01</v>
      </c>
      <c r="D126" s="39">
        <v>0.01</v>
      </c>
      <c r="E126" s="39">
        <v>0.01</v>
      </c>
      <c r="F126" s="39">
        <v>0.01</v>
      </c>
      <c r="G126" s="39">
        <v>0.01</v>
      </c>
      <c r="H126" s="39">
        <v>0.01</v>
      </c>
      <c r="I126" s="269">
        <f t="shared" si="48"/>
        <v>0.060000000000000005</v>
      </c>
      <c r="J126" s="39">
        <v>0</v>
      </c>
      <c r="K126" s="187">
        <f>I126</f>
        <v>0.060000000000000005</v>
      </c>
      <c r="L126" s="305"/>
      <c r="M126" s="305"/>
      <c r="N126" s="305"/>
      <c r="O126" s="306"/>
      <c r="P126" s="514"/>
      <c r="Q126" s="368"/>
      <c r="R126" s="84"/>
      <c r="S126" s="84"/>
      <c r="T126" s="84"/>
      <c r="U126" s="66"/>
    </row>
    <row r="127" spans="1:27" s="32" customFormat="1" ht="15">
      <c r="A127" s="75" t="s">
        <v>68</v>
      </c>
      <c r="B127" s="989" t="s">
        <v>60</v>
      </c>
      <c r="C127" s="10">
        <v>4069.517783683101</v>
      </c>
      <c r="D127" s="10">
        <v>8763.708550679588</v>
      </c>
      <c r="E127" s="10">
        <v>6880.538078139579</v>
      </c>
      <c r="F127" s="10">
        <v>7914.98349168355</v>
      </c>
      <c r="G127" s="10">
        <v>5034.52447616636</v>
      </c>
      <c r="H127" s="10">
        <v>17711.380464850165</v>
      </c>
      <c r="I127" s="132">
        <f t="shared" si="48"/>
        <v>50374.65284520234</v>
      </c>
      <c r="J127" s="51">
        <f t="shared" si="43"/>
        <v>50374.65284520234</v>
      </c>
      <c r="K127" s="172">
        <f>J127</f>
        <v>50374.65284520234</v>
      </c>
      <c r="L127" s="303"/>
      <c r="M127" s="303"/>
      <c r="N127" s="303"/>
      <c r="O127" s="304"/>
      <c r="P127" s="391"/>
      <c r="Q127" s="373"/>
      <c r="R127" s="81"/>
      <c r="S127" s="81"/>
      <c r="T127" s="81"/>
      <c r="U127" s="83"/>
      <c r="X127" s="35"/>
      <c r="Y127" s="35"/>
      <c r="Z127" s="35"/>
      <c r="AA127" s="35"/>
    </row>
    <row r="128" spans="1:27" s="123" customFormat="1" ht="15">
      <c r="A128" s="146" t="s">
        <v>236</v>
      </c>
      <c r="B128" s="147" t="s">
        <v>240</v>
      </c>
      <c r="C128" s="39">
        <v>0.01</v>
      </c>
      <c r="D128" s="39">
        <v>0.01</v>
      </c>
      <c r="E128" s="39">
        <v>0.01</v>
      </c>
      <c r="F128" s="39">
        <v>0.01</v>
      </c>
      <c r="G128" s="39">
        <v>0.01</v>
      </c>
      <c r="H128" s="39">
        <v>0.01</v>
      </c>
      <c r="I128" s="269">
        <f t="shared" si="48"/>
        <v>0.060000000000000005</v>
      </c>
      <c r="J128" s="39">
        <f t="shared" si="43"/>
        <v>0.060000000000000005</v>
      </c>
      <c r="K128" s="187">
        <f>J128</f>
        <v>0.060000000000000005</v>
      </c>
      <c r="L128" s="305"/>
      <c r="M128" s="305"/>
      <c r="N128" s="305"/>
      <c r="O128" s="306"/>
      <c r="P128" s="514"/>
      <c r="Q128" s="368"/>
      <c r="R128" s="84"/>
      <c r="S128" s="84"/>
      <c r="T128" s="84"/>
      <c r="U128" s="124"/>
      <c r="X128" s="41"/>
      <c r="Y128" s="41"/>
      <c r="Z128" s="41"/>
      <c r="AA128" s="41"/>
    </row>
    <row r="129" spans="1:27" s="32" customFormat="1" ht="15">
      <c r="A129" s="75" t="s">
        <v>69</v>
      </c>
      <c r="B129" s="989" t="s">
        <v>61</v>
      </c>
      <c r="C129" s="10">
        <f aca="true" t="shared" si="49" ref="C129:H129">C119*0.95</f>
        <v>11598.125683496837</v>
      </c>
      <c r="D129" s="10">
        <f t="shared" si="49"/>
        <v>24976.569369436827</v>
      </c>
      <c r="E129" s="10">
        <f t="shared" si="49"/>
        <v>19609.5335226978</v>
      </c>
      <c r="F129" s="10">
        <f t="shared" si="49"/>
        <v>22557.702951298117</v>
      </c>
      <c r="G129" s="10">
        <f t="shared" si="49"/>
        <v>14348.394757074126</v>
      </c>
      <c r="H129" s="10">
        <f t="shared" si="49"/>
        <v>50477.43432482296</v>
      </c>
      <c r="I129" s="132">
        <f t="shared" si="48"/>
        <v>143567.76060882668</v>
      </c>
      <c r="J129" s="51">
        <f t="shared" si="43"/>
        <v>143567.76060882668</v>
      </c>
      <c r="K129" s="172">
        <f>J129</f>
        <v>143567.76060882668</v>
      </c>
      <c r="L129" s="303"/>
      <c r="M129" s="303"/>
      <c r="N129" s="303"/>
      <c r="O129" s="304"/>
      <c r="P129" s="391"/>
      <c r="Q129" s="373"/>
      <c r="R129" s="81"/>
      <c r="S129" s="81"/>
      <c r="T129" s="81"/>
      <c r="U129" s="83"/>
      <c r="X129" s="35"/>
      <c r="Y129" s="35"/>
      <c r="Z129" s="35"/>
      <c r="AA129" s="35"/>
    </row>
    <row r="130" spans="1:21" s="41" customFormat="1" ht="15.75" thickBot="1">
      <c r="A130" s="148" t="s">
        <v>237</v>
      </c>
      <c r="B130" s="149" t="s">
        <v>241</v>
      </c>
      <c r="C130" s="144">
        <f aca="true" t="shared" si="50" ref="C130:H130">C129*0.1</f>
        <v>1159.8125683496837</v>
      </c>
      <c r="D130" s="144">
        <f t="shared" si="50"/>
        <v>2497.656936943683</v>
      </c>
      <c r="E130" s="144">
        <f t="shared" si="50"/>
        <v>1960.95335226978</v>
      </c>
      <c r="F130" s="144">
        <f t="shared" si="50"/>
        <v>2255.770295129812</v>
      </c>
      <c r="G130" s="144">
        <f t="shared" si="50"/>
        <v>1434.8394757074127</v>
      </c>
      <c r="H130" s="144">
        <f t="shared" si="50"/>
        <v>5047.743432482297</v>
      </c>
      <c r="I130" s="252">
        <f t="shared" si="48"/>
        <v>14356.776060882668</v>
      </c>
      <c r="J130" s="144">
        <f t="shared" si="43"/>
        <v>14356.776060882668</v>
      </c>
      <c r="K130" s="182">
        <f>J130</f>
        <v>14356.776060882668</v>
      </c>
      <c r="L130" s="346"/>
      <c r="M130" s="346"/>
      <c r="N130" s="346"/>
      <c r="O130" s="513"/>
      <c r="P130" s="510"/>
      <c r="Q130" s="369"/>
      <c r="R130" s="84"/>
      <c r="S130" s="84"/>
      <c r="T130" s="84"/>
      <c r="U130" s="66"/>
    </row>
    <row r="131" spans="1:27" s="169" customFormat="1" ht="15.75">
      <c r="A131" s="1062" t="s">
        <v>691</v>
      </c>
      <c r="B131" s="1063"/>
      <c r="C131" s="1063"/>
      <c r="D131" s="1063"/>
      <c r="E131" s="1063"/>
      <c r="F131" s="1063"/>
      <c r="G131" s="1063"/>
      <c r="H131" s="1063"/>
      <c r="I131" s="1063"/>
      <c r="J131" s="1063"/>
      <c r="K131" s="1064"/>
      <c r="L131" s="375"/>
      <c r="M131" s="376"/>
      <c r="N131" s="376"/>
      <c r="O131" s="377"/>
      <c r="P131" s="378"/>
      <c r="Q131" s="379"/>
      <c r="R131" s="185"/>
      <c r="S131" s="185"/>
      <c r="T131" s="185"/>
      <c r="U131" s="168"/>
      <c r="X131" s="357"/>
      <c r="Y131" s="357"/>
      <c r="Z131" s="357"/>
      <c r="AA131" s="357"/>
    </row>
    <row r="132" spans="1:27" s="32" customFormat="1" ht="15">
      <c r="A132" s="75" t="s">
        <v>46</v>
      </c>
      <c r="B132" s="31" t="s">
        <v>34</v>
      </c>
      <c r="C132" s="4">
        <v>249234.5323578261</v>
      </c>
      <c r="D132" s="4">
        <v>536726.6881365217</v>
      </c>
      <c r="E132" s="4">
        <v>421393.33980826085</v>
      </c>
      <c r="F132" s="4">
        <v>484747.1651504347</v>
      </c>
      <c r="G132" s="4">
        <v>308335.6358565218</v>
      </c>
      <c r="H132" s="4">
        <v>1084720.0730434784</v>
      </c>
      <c r="I132" s="132">
        <f aca="true" t="shared" si="51" ref="I132:I143">SUM(C132:H132)</f>
        <v>3085157.4343530433</v>
      </c>
      <c r="J132" s="240">
        <f>I132</f>
        <v>3085157.4343530433</v>
      </c>
      <c r="K132" s="188">
        <f>I132</f>
        <v>3085157.4343530433</v>
      </c>
      <c r="L132" s="309"/>
      <c r="M132" s="309"/>
      <c r="N132" s="309"/>
      <c r="O132" s="310"/>
      <c r="P132" s="518"/>
      <c r="Q132" s="99"/>
      <c r="R132" s="12"/>
      <c r="S132" s="12"/>
      <c r="T132" s="12"/>
      <c r="U132" s="83"/>
      <c r="X132" s="35"/>
      <c r="Y132" s="35"/>
      <c r="Z132" s="35"/>
      <c r="AA132" s="35"/>
    </row>
    <row r="133" spans="1:27" s="32" customFormat="1" ht="15">
      <c r="A133" s="985" t="s">
        <v>47</v>
      </c>
      <c r="B133" s="287" t="s">
        <v>768</v>
      </c>
      <c r="C133" s="289">
        <v>176724.6935594689</v>
      </c>
      <c r="D133" s="289">
        <v>380576.7145859835</v>
      </c>
      <c r="E133" s="289">
        <v>298797.31408446474</v>
      </c>
      <c r="F133" s="289">
        <f>343720</f>
        <v>343720</v>
      </c>
      <c r="G133" s="289">
        <v>218631.50440957252</v>
      </c>
      <c r="H133" s="289">
        <v>769142.3042100533</v>
      </c>
      <c r="I133" s="132">
        <f t="shared" si="51"/>
        <v>2187592.530849543</v>
      </c>
      <c r="J133" s="133">
        <f>I133</f>
        <v>2187592.530849543</v>
      </c>
      <c r="K133" s="188">
        <f>I133</f>
        <v>2187592.530849543</v>
      </c>
      <c r="L133" s="309"/>
      <c r="M133" s="309"/>
      <c r="N133" s="309"/>
      <c r="O133" s="310"/>
      <c r="P133" s="518"/>
      <c r="Q133" s="99"/>
      <c r="R133" s="12"/>
      <c r="S133" s="12"/>
      <c r="T133" s="12"/>
      <c r="U133" s="83"/>
      <c r="X133" s="35"/>
      <c r="Y133" s="35"/>
      <c r="Z133" s="35"/>
      <c r="AA133" s="35"/>
    </row>
    <row r="134" spans="1:21" s="41" customFormat="1" ht="15">
      <c r="A134" s="77" t="s">
        <v>766</v>
      </c>
      <c r="B134" s="109" t="s">
        <v>769</v>
      </c>
      <c r="C134" s="44">
        <f>C133*0.4</f>
        <v>70689.87742378756</v>
      </c>
      <c r="D134" s="44">
        <f>D133*0.6</f>
        <v>228346.0287515901</v>
      </c>
      <c r="E134" s="44">
        <f>E133*0.5</f>
        <v>149398.65704223237</v>
      </c>
      <c r="F134" s="44">
        <f>F133*0.5</f>
        <v>171860</v>
      </c>
      <c r="G134" s="44">
        <f>G133*0.1</f>
        <v>21863.15044095725</v>
      </c>
      <c r="H134" s="44">
        <f>H133*0.5</f>
        <v>384571.15210502665</v>
      </c>
      <c r="I134" s="900">
        <f t="shared" si="51"/>
        <v>1026728.8657635939</v>
      </c>
      <c r="J134" s="44">
        <f>J133*0.5</f>
        <v>1093796.2654247715</v>
      </c>
      <c r="K134" s="868">
        <f>I134</f>
        <v>1026728.8657635939</v>
      </c>
      <c r="L134" s="305"/>
      <c r="M134" s="305"/>
      <c r="N134" s="305"/>
      <c r="O134" s="306"/>
      <c r="P134" s="514"/>
      <c r="Q134" s="368"/>
      <c r="R134" s="84"/>
      <c r="S134" s="84"/>
      <c r="T134" s="84"/>
      <c r="U134" s="66"/>
    </row>
    <row r="135" spans="1:21" s="41" customFormat="1" ht="15">
      <c r="A135" s="77" t="s">
        <v>767</v>
      </c>
      <c r="B135" s="109" t="s">
        <v>770</v>
      </c>
      <c r="C135" s="44">
        <f>C133*0.2</f>
        <v>35344.93871189378</v>
      </c>
      <c r="D135" s="44">
        <f>D133*0.1</f>
        <v>38057.67145859835</v>
      </c>
      <c r="E135" s="44">
        <f>E133*0.2</f>
        <v>59759.46281689295</v>
      </c>
      <c r="F135" s="44">
        <f>F133*0.2</f>
        <v>68744</v>
      </c>
      <c r="G135" s="44">
        <f>G133*0.3</f>
        <v>65589.45132287176</v>
      </c>
      <c r="H135" s="44">
        <f>H133*0.2</f>
        <v>153828.46084201065</v>
      </c>
      <c r="I135" s="900">
        <f t="shared" si="51"/>
        <v>421323.9851522675</v>
      </c>
      <c r="J135" s="44">
        <f>J134*0.5</f>
        <v>546898.1327123857</v>
      </c>
      <c r="K135" s="868">
        <f>I135</f>
        <v>421323.9851522675</v>
      </c>
      <c r="L135" s="305"/>
      <c r="M135" s="305"/>
      <c r="N135" s="305"/>
      <c r="O135" s="306"/>
      <c r="P135" s="514"/>
      <c r="Q135" s="368"/>
      <c r="R135" s="84"/>
      <c r="S135" s="84"/>
      <c r="T135" s="84"/>
      <c r="U135" s="66"/>
    </row>
    <row r="136" spans="1:21" s="35" customFormat="1" ht="15">
      <c r="A136" s="985" t="s">
        <v>375</v>
      </c>
      <c r="B136" s="980" t="s">
        <v>750</v>
      </c>
      <c r="C136" s="133">
        <f>C132-C133</f>
        <v>72509.8387983572</v>
      </c>
      <c r="D136" s="133">
        <f aca="true" t="shared" si="52" ref="D136:J136">D132-D133</f>
        <v>156149.97355053824</v>
      </c>
      <c r="E136" s="133">
        <f t="shared" si="52"/>
        <v>122596.0257237961</v>
      </c>
      <c r="F136" s="133">
        <f t="shared" si="52"/>
        <v>141027.1651504347</v>
      </c>
      <c r="G136" s="133">
        <f t="shared" si="52"/>
        <v>89704.13144694926</v>
      </c>
      <c r="H136" s="133">
        <f t="shared" si="52"/>
        <v>315577.7688334251</v>
      </c>
      <c r="I136" s="133">
        <f t="shared" si="51"/>
        <v>897564.9035035006</v>
      </c>
      <c r="J136" s="133">
        <f t="shared" si="52"/>
        <v>897564.9035035004</v>
      </c>
      <c r="K136" s="563">
        <f>I136</f>
        <v>897564.9035035006</v>
      </c>
      <c r="L136" s="303"/>
      <c r="M136" s="303"/>
      <c r="N136" s="303"/>
      <c r="O136" s="304"/>
      <c r="P136" s="391"/>
      <c r="Q136" s="373"/>
      <c r="R136" s="81"/>
      <c r="S136" s="81"/>
      <c r="T136" s="81"/>
      <c r="U136" s="82"/>
    </row>
    <row r="137" spans="1:27" s="32" customFormat="1" ht="15">
      <c r="A137" s="75" t="s">
        <v>48</v>
      </c>
      <c r="B137" s="989" t="s">
        <v>374</v>
      </c>
      <c r="C137" s="43">
        <v>-5760</v>
      </c>
      <c r="D137" s="43">
        <v>29371</v>
      </c>
      <c r="E137" s="43">
        <v>8184</v>
      </c>
      <c r="F137" s="43">
        <v>-4939</v>
      </c>
      <c r="G137" s="43">
        <v>-17320.57096664142</v>
      </c>
      <c r="H137" s="43">
        <v>-9535</v>
      </c>
      <c r="I137" s="132">
        <f t="shared" si="51"/>
        <v>0.42903335858136415</v>
      </c>
      <c r="J137" s="43">
        <f>-I137</f>
        <v>-0.42903335858136415</v>
      </c>
      <c r="K137" s="188">
        <f>I137+J137+0.01</f>
        <v>0.01</v>
      </c>
      <c r="L137" s="309"/>
      <c r="M137" s="309"/>
      <c r="N137" s="309"/>
      <c r="O137" s="310"/>
      <c r="P137" s="518"/>
      <c r="Q137" s="99"/>
      <c r="R137" s="12"/>
      <c r="S137" s="12"/>
      <c r="T137" s="12"/>
      <c r="U137" s="83"/>
      <c r="X137" s="35"/>
      <c r="Y137" s="35"/>
      <c r="Z137" s="35"/>
      <c r="AA137" s="35"/>
    </row>
    <row r="138" spans="1:27" s="32" customFormat="1" ht="15">
      <c r="A138" s="985" t="s">
        <v>49</v>
      </c>
      <c r="B138" s="151" t="s">
        <v>772</v>
      </c>
      <c r="C138" s="133">
        <f aca="true" t="shared" si="53" ref="C138:H138">C132-C133+C137</f>
        <v>66749.8387983572</v>
      </c>
      <c r="D138" s="133">
        <f t="shared" si="53"/>
        <v>185520.97355053824</v>
      </c>
      <c r="E138" s="133">
        <f t="shared" si="53"/>
        <v>130780.0257237961</v>
      </c>
      <c r="F138" s="133">
        <f t="shared" si="53"/>
        <v>136088.1651504347</v>
      </c>
      <c r="G138" s="133">
        <f t="shared" si="53"/>
        <v>72383.56048030785</v>
      </c>
      <c r="H138" s="133">
        <f t="shared" si="53"/>
        <v>306042.7688334251</v>
      </c>
      <c r="I138" s="132">
        <f t="shared" si="51"/>
        <v>897565.3325368592</v>
      </c>
      <c r="J138" s="133">
        <f>J132-J133+J137</f>
        <v>897564.4744701418</v>
      </c>
      <c r="K138" s="188">
        <f>I138</f>
        <v>897565.3325368592</v>
      </c>
      <c r="L138" s="303"/>
      <c r="M138" s="303"/>
      <c r="N138" s="303"/>
      <c r="O138" s="304"/>
      <c r="P138" s="391"/>
      <c r="Q138" s="373"/>
      <c r="R138" s="81"/>
      <c r="S138" s="81"/>
      <c r="T138" s="81"/>
      <c r="U138" s="83"/>
      <c r="X138" s="35"/>
      <c r="Y138" s="35"/>
      <c r="Z138" s="35"/>
      <c r="AA138" s="35"/>
    </row>
    <row r="139" spans="1:27" s="123" customFormat="1" ht="15">
      <c r="A139" s="77" t="s">
        <v>761</v>
      </c>
      <c r="B139" s="60" t="s">
        <v>62</v>
      </c>
      <c r="C139" s="38">
        <v>15346.997135476864</v>
      </c>
      <c r="D139" s="38">
        <v>91886</v>
      </c>
      <c r="E139" s="38">
        <v>85153.11372755616</v>
      </c>
      <c r="F139" s="38">
        <v>88590.31977612579</v>
      </c>
      <c r="G139" s="38">
        <v>57621.182862453046</v>
      </c>
      <c r="H139" s="38">
        <v>200847.56283655087</v>
      </c>
      <c r="I139" s="249">
        <f t="shared" si="51"/>
        <v>539445.1763381627</v>
      </c>
      <c r="J139" s="44">
        <f>I139</f>
        <v>539445.1763381627</v>
      </c>
      <c r="K139" s="189">
        <f aca="true" t="shared" si="54" ref="K139:K150">I139</f>
        <v>539445.1763381627</v>
      </c>
      <c r="L139" s="305"/>
      <c r="M139" s="305"/>
      <c r="N139" s="305"/>
      <c r="O139" s="306"/>
      <c r="P139" s="514"/>
      <c r="Q139" s="368"/>
      <c r="R139" s="84"/>
      <c r="S139" s="84"/>
      <c r="T139" s="84"/>
      <c r="U139" s="124"/>
      <c r="X139" s="41"/>
      <c r="Y139" s="41"/>
      <c r="Z139" s="41"/>
      <c r="AA139" s="41"/>
    </row>
    <row r="140" spans="1:27" s="123" customFormat="1" ht="15">
      <c r="A140" s="77" t="s">
        <v>762</v>
      </c>
      <c r="B140" s="60" t="s">
        <v>242</v>
      </c>
      <c r="C140" s="38">
        <f aca="true" t="shared" si="55" ref="C140:H140">C150*6</f>
        <v>72770.76309858722</v>
      </c>
      <c r="D140" s="38">
        <f t="shared" si="55"/>
        <v>69066.25978998514</v>
      </c>
      <c r="E140" s="38">
        <f t="shared" si="55"/>
        <v>5153.560277221077</v>
      </c>
      <c r="F140" s="38">
        <f t="shared" si="55"/>
        <v>40773.310435864565</v>
      </c>
      <c r="G140" s="38">
        <f t="shared" si="55"/>
        <v>317.73104358645617</v>
      </c>
      <c r="H140" s="38">
        <f t="shared" si="55"/>
        <v>6608.399999999998</v>
      </c>
      <c r="I140" s="249">
        <f t="shared" si="51"/>
        <v>194690.02464524444</v>
      </c>
      <c r="J140" s="44">
        <f>I140</f>
        <v>194690.02464524444</v>
      </c>
      <c r="K140" s="189">
        <f t="shared" si="54"/>
        <v>194690.02464524444</v>
      </c>
      <c r="L140" s="305"/>
      <c r="M140" s="305"/>
      <c r="N140" s="305"/>
      <c r="O140" s="306"/>
      <c r="P140" s="514"/>
      <c r="Q140" s="368"/>
      <c r="R140" s="84"/>
      <c r="S140" s="84"/>
      <c r="T140" s="84"/>
      <c r="U140" s="124"/>
      <c r="X140" s="41"/>
      <c r="Y140" s="41"/>
      <c r="Z140" s="41"/>
      <c r="AA140" s="41"/>
    </row>
    <row r="141" spans="1:27" s="123" customFormat="1" ht="15">
      <c r="A141" s="77" t="s">
        <v>763</v>
      </c>
      <c r="B141" s="60" t="s">
        <v>771</v>
      </c>
      <c r="C141" s="38">
        <v>-10000</v>
      </c>
      <c r="D141" s="38">
        <f>-$C141/5</f>
        <v>2000</v>
      </c>
      <c r="E141" s="38">
        <f>-$C141/5</f>
        <v>2000</v>
      </c>
      <c r="F141" s="38">
        <f>-$C141/5</f>
        <v>2000</v>
      </c>
      <c r="G141" s="38">
        <f>-$C141/5</f>
        <v>2000</v>
      </c>
      <c r="H141" s="38">
        <f>-$C141/5</f>
        <v>2000</v>
      </c>
      <c r="I141" s="249">
        <f t="shared" si="51"/>
        <v>0</v>
      </c>
      <c r="J141" s="44">
        <v>0</v>
      </c>
      <c r="K141" s="189">
        <f t="shared" si="54"/>
        <v>0</v>
      </c>
      <c r="L141" s="305"/>
      <c r="M141" s="305"/>
      <c r="N141" s="305"/>
      <c r="O141" s="306"/>
      <c r="P141" s="514"/>
      <c r="Q141" s="368"/>
      <c r="R141" s="84"/>
      <c r="S141" s="84"/>
      <c r="T141" s="84"/>
      <c r="U141" s="124"/>
      <c r="X141" s="41"/>
      <c r="Y141" s="41"/>
      <c r="Z141" s="41"/>
      <c r="AA141" s="41"/>
    </row>
    <row r="142" spans="1:27" s="123" customFormat="1" ht="15">
      <c r="A142" s="77" t="s">
        <v>764</v>
      </c>
      <c r="B142" s="60" t="str">
        <f>"of which additional"&amp;" "&amp;B154</f>
        <v>of which additional Evapotranspiration induced by irrigation and other uses</v>
      </c>
      <c r="C142" s="38">
        <f aca="true" t="shared" si="56" ref="C142:H142">C154</f>
        <v>1539</v>
      </c>
      <c r="D142" s="38">
        <f t="shared" si="56"/>
        <v>34887</v>
      </c>
      <c r="E142" s="38">
        <f t="shared" si="56"/>
        <v>7488</v>
      </c>
      <c r="F142" s="38">
        <f t="shared" si="56"/>
        <v>1138.448260689239</v>
      </c>
      <c r="G142" s="38">
        <f t="shared" si="56"/>
        <v>113.84482606892392</v>
      </c>
      <c r="H142" s="38">
        <f t="shared" si="56"/>
        <v>8781</v>
      </c>
      <c r="I142" s="249">
        <f t="shared" si="51"/>
        <v>53947.29308675817</v>
      </c>
      <c r="J142" s="44">
        <f>I142</f>
        <v>53947.29308675817</v>
      </c>
      <c r="K142" s="189">
        <f t="shared" si="54"/>
        <v>53947.29308675817</v>
      </c>
      <c r="L142" s="305"/>
      <c r="M142" s="305"/>
      <c r="N142" s="305"/>
      <c r="O142" s="306"/>
      <c r="P142" s="514"/>
      <c r="Q142" s="368"/>
      <c r="R142" s="84"/>
      <c r="S142" s="84"/>
      <c r="T142" s="84"/>
      <c r="U142" s="124"/>
      <c r="X142" s="41"/>
      <c r="Y142" s="41"/>
      <c r="Z142" s="41"/>
      <c r="AA142" s="41"/>
    </row>
    <row r="143" spans="1:27" s="32" customFormat="1" ht="15">
      <c r="A143" s="993" t="s">
        <v>65</v>
      </c>
      <c r="B143" s="150" t="s">
        <v>765</v>
      </c>
      <c r="C143" s="143">
        <f aca="true" t="shared" si="57" ref="C143:H143">C138-SUM(C139:C142)</f>
        <v>-12906.921435706885</v>
      </c>
      <c r="D143" s="143">
        <f t="shared" si="57"/>
        <v>-12318.286239446898</v>
      </c>
      <c r="E143" s="143">
        <f t="shared" si="57"/>
        <v>30985.351719018858</v>
      </c>
      <c r="F143" s="143">
        <f t="shared" si="57"/>
        <v>3586.0866777551128</v>
      </c>
      <c r="G143" s="143">
        <f t="shared" si="57"/>
        <v>12330.801748199417</v>
      </c>
      <c r="H143" s="143">
        <f t="shared" si="57"/>
        <v>87805.80599687426</v>
      </c>
      <c r="I143" s="132">
        <f t="shared" si="51"/>
        <v>109482.83846669387</v>
      </c>
      <c r="J143" s="143">
        <f>J138-SUM(J139:J142)</f>
        <v>109481.98039997648</v>
      </c>
      <c r="K143" s="189">
        <f t="shared" si="54"/>
        <v>109482.83846669387</v>
      </c>
      <c r="L143" s="309"/>
      <c r="M143" s="309"/>
      <c r="N143" s="309"/>
      <c r="O143" s="310"/>
      <c r="P143" s="518"/>
      <c r="Q143" s="99"/>
      <c r="X143" s="35"/>
      <c r="Y143" s="35"/>
      <c r="Z143" s="35"/>
      <c r="AA143" s="35"/>
    </row>
    <row r="144" spans="1:27" s="32" customFormat="1" ht="15">
      <c r="A144" s="985" t="s">
        <v>751</v>
      </c>
      <c r="B144" s="980" t="s">
        <v>752</v>
      </c>
      <c r="C144" s="143"/>
      <c r="D144" s="143"/>
      <c r="E144" s="143"/>
      <c r="F144" s="143"/>
      <c r="G144" s="143"/>
      <c r="H144" s="143"/>
      <c r="I144" s="132"/>
      <c r="J144" s="143"/>
      <c r="K144" s="189"/>
      <c r="L144" s="309"/>
      <c r="M144" s="309"/>
      <c r="N144" s="309"/>
      <c r="O144" s="310"/>
      <c r="P144" s="518"/>
      <c r="Q144" s="99"/>
      <c r="X144" s="35"/>
      <c r="Y144" s="35"/>
      <c r="Z144" s="35"/>
      <c r="AA144" s="35"/>
    </row>
    <row r="145" spans="1:20" ht="15">
      <c r="A145" s="79" t="s">
        <v>383</v>
      </c>
      <c r="B145" s="92" t="s">
        <v>385</v>
      </c>
      <c r="C145" s="43">
        <v>7223.075645539007</v>
      </c>
      <c r="D145" s="43">
        <v>51997.6979980363</v>
      </c>
      <c r="E145" s="43">
        <v>13433.658391087723</v>
      </c>
      <c r="F145" s="43">
        <v>12405</v>
      </c>
      <c r="G145" s="43">
        <v>1696</v>
      </c>
      <c r="H145" s="43">
        <v>12478</v>
      </c>
      <c r="I145" s="132">
        <f>SUM(C145:H145)</f>
        <v>99233.43203466304</v>
      </c>
      <c r="J145" s="143">
        <f>I145</f>
        <v>99233.43203466304</v>
      </c>
      <c r="K145" s="189">
        <f t="shared" si="54"/>
        <v>99233.43203466304</v>
      </c>
      <c r="L145" s="309"/>
      <c r="M145" s="309"/>
      <c r="N145" s="309"/>
      <c r="O145" s="310"/>
      <c r="P145" s="518"/>
      <c r="Q145" s="99"/>
      <c r="R145" s="12"/>
      <c r="S145" s="12"/>
      <c r="T145" s="12"/>
    </row>
    <row r="146" spans="1:27" s="93" customFormat="1" ht="15">
      <c r="A146" s="79" t="s">
        <v>382</v>
      </c>
      <c r="B146" s="92" t="s">
        <v>384</v>
      </c>
      <c r="C146" s="43">
        <v>500</v>
      </c>
      <c r="D146" s="43">
        <v>0</v>
      </c>
      <c r="E146" s="43">
        <v>0</v>
      </c>
      <c r="F146" s="43">
        <v>0</v>
      </c>
      <c r="G146" s="43">
        <v>0</v>
      </c>
      <c r="H146" s="43">
        <v>0</v>
      </c>
      <c r="I146" s="132"/>
      <c r="J146" s="143"/>
      <c r="K146" s="189"/>
      <c r="L146" s="309"/>
      <c r="M146" s="309"/>
      <c r="N146" s="309"/>
      <c r="O146" s="310"/>
      <c r="P146" s="518"/>
      <c r="Q146" s="99"/>
      <c r="R146" s="12"/>
      <c r="S146" s="12"/>
      <c r="T146" s="12"/>
      <c r="U146" s="42"/>
      <c r="X146" s="35"/>
      <c r="Y146" s="35"/>
      <c r="Z146" s="35"/>
      <c r="AA146" s="35"/>
    </row>
    <row r="147" spans="1:21" s="32" customFormat="1" ht="15">
      <c r="A147" s="75" t="s">
        <v>79</v>
      </c>
      <c r="B147" s="990" t="s">
        <v>692</v>
      </c>
      <c r="C147" s="240">
        <v>4600</v>
      </c>
      <c r="D147" s="240">
        <v>2000</v>
      </c>
      <c r="E147" s="240">
        <v>-2500</v>
      </c>
      <c r="F147" s="240">
        <v>-2000</v>
      </c>
      <c r="G147" s="240">
        <v>-1200</v>
      </c>
      <c r="H147" s="240">
        <v>-400</v>
      </c>
      <c r="I147" s="132">
        <f>SUM(C147:H147)</f>
        <v>500</v>
      </c>
      <c r="J147" s="240">
        <f>I147</f>
        <v>500</v>
      </c>
      <c r="K147" s="188">
        <f t="shared" si="54"/>
        <v>500</v>
      </c>
      <c r="L147" s="301"/>
      <c r="M147" s="301"/>
      <c r="N147" s="301"/>
      <c r="O147" s="302"/>
      <c r="P147" s="388"/>
      <c r="Q147" s="374"/>
      <c r="R147" s="85"/>
      <c r="S147" s="85"/>
      <c r="T147" s="85"/>
      <c r="U147" s="83"/>
    </row>
    <row r="148" spans="1:21" s="32" customFormat="1" ht="15">
      <c r="A148" s="75" t="s">
        <v>80</v>
      </c>
      <c r="B148" s="990" t="s">
        <v>381</v>
      </c>
      <c r="C148" s="991">
        <v>2000</v>
      </c>
      <c r="D148" s="991">
        <v>200</v>
      </c>
      <c r="E148" s="991">
        <v>100</v>
      </c>
      <c r="F148" s="991">
        <v>10</v>
      </c>
      <c r="G148" s="991">
        <v>10</v>
      </c>
      <c r="H148" s="991">
        <v>300</v>
      </c>
      <c r="I148" s="132">
        <f>SUM(C148:H148)</f>
        <v>2620</v>
      </c>
      <c r="J148" s="240"/>
      <c r="K148" s="188"/>
      <c r="L148" s="301"/>
      <c r="M148" s="301"/>
      <c r="N148" s="301"/>
      <c r="O148" s="302"/>
      <c r="P148" s="388"/>
      <c r="Q148" s="374"/>
      <c r="R148" s="85"/>
      <c r="S148" s="85"/>
      <c r="T148" s="85"/>
      <c r="U148" s="83"/>
    </row>
    <row r="149" spans="1:21" s="32" customFormat="1" ht="15">
      <c r="A149" s="75" t="s">
        <v>753</v>
      </c>
      <c r="B149" s="990" t="s">
        <v>754</v>
      </c>
      <c r="C149" s="991"/>
      <c r="D149" s="991"/>
      <c r="E149" s="991"/>
      <c r="F149" s="991"/>
      <c r="G149" s="991"/>
      <c r="H149" s="991"/>
      <c r="I149" s="132"/>
      <c r="J149" s="240"/>
      <c r="K149" s="188"/>
      <c r="L149" s="301"/>
      <c r="M149" s="301"/>
      <c r="N149" s="301"/>
      <c r="O149" s="302"/>
      <c r="P149" s="388"/>
      <c r="Q149" s="374"/>
      <c r="R149" s="85"/>
      <c r="S149" s="85"/>
      <c r="T149" s="85"/>
      <c r="U149" s="83"/>
    </row>
    <row r="150" spans="1:20" ht="15">
      <c r="A150" s="79" t="s">
        <v>387</v>
      </c>
      <c r="B150" s="92" t="s">
        <v>389</v>
      </c>
      <c r="C150" s="48">
        <f aca="true" t="shared" si="58" ref="C150:H150">C145+C147+C148-C152-C153</f>
        <v>12128.460516431205</v>
      </c>
      <c r="D150" s="48">
        <f t="shared" si="58"/>
        <v>11511.043298330856</v>
      </c>
      <c r="E150" s="48">
        <f t="shared" si="58"/>
        <v>858.9267128701795</v>
      </c>
      <c r="F150" s="48">
        <f t="shared" si="58"/>
        <v>6795.551739310761</v>
      </c>
      <c r="G150" s="48">
        <f t="shared" si="58"/>
        <v>52.95517393107603</v>
      </c>
      <c r="H150" s="48">
        <f t="shared" si="58"/>
        <v>1101.3999999999996</v>
      </c>
      <c r="I150" s="132">
        <f>SUM(C150:H150)</f>
        <v>32448.33744087408</v>
      </c>
      <c r="J150" s="43">
        <f>I150</f>
        <v>32448.33744087408</v>
      </c>
      <c r="K150" s="188">
        <f t="shared" si="54"/>
        <v>32448.33744087408</v>
      </c>
      <c r="L150" s="309"/>
      <c r="M150" s="309"/>
      <c r="N150" s="309"/>
      <c r="O150" s="310"/>
      <c r="P150" s="518"/>
      <c r="Q150" s="99"/>
      <c r="R150" s="12"/>
      <c r="S150" s="12"/>
      <c r="T150" s="12"/>
    </row>
    <row r="151" spans="1:27" s="93" customFormat="1" ht="15">
      <c r="A151" s="79" t="s">
        <v>386</v>
      </c>
      <c r="B151" s="92" t="s">
        <v>388</v>
      </c>
      <c r="C151" s="48">
        <f aca="true" t="shared" si="59" ref="C151:H151">C150*0.1</f>
        <v>1212.8460516431205</v>
      </c>
      <c r="D151" s="48">
        <f t="shared" si="59"/>
        <v>1151.1043298330858</v>
      </c>
      <c r="E151" s="48">
        <f t="shared" si="59"/>
        <v>85.89267128701795</v>
      </c>
      <c r="F151" s="48">
        <f t="shared" si="59"/>
        <v>679.5551739310762</v>
      </c>
      <c r="G151" s="48">
        <f t="shared" si="59"/>
        <v>5.295517393107604</v>
      </c>
      <c r="H151" s="48">
        <f t="shared" si="59"/>
        <v>110.13999999999997</v>
      </c>
      <c r="I151" s="132"/>
      <c r="J151" s="43"/>
      <c r="K151" s="188"/>
      <c r="L151" s="309"/>
      <c r="M151" s="309"/>
      <c r="N151" s="309"/>
      <c r="O151" s="310"/>
      <c r="P151" s="518"/>
      <c r="Q151" s="99"/>
      <c r="R151" s="12"/>
      <c r="S151" s="12"/>
      <c r="T151" s="12"/>
      <c r="U151" s="42"/>
      <c r="X151" s="35"/>
      <c r="Y151" s="35"/>
      <c r="Z151" s="35"/>
      <c r="AA151" s="35"/>
    </row>
    <row r="152" spans="1:20" ht="15">
      <c r="A152" s="75" t="s">
        <v>81</v>
      </c>
      <c r="B152" s="31" t="s">
        <v>228</v>
      </c>
      <c r="C152" s="48">
        <f>C145*0.2</f>
        <v>1444.6151291078015</v>
      </c>
      <c r="D152" s="48">
        <f>D145*0.15</f>
        <v>7799.654699705445</v>
      </c>
      <c r="E152" s="48">
        <f>E145*0.2</f>
        <v>2686.731678217545</v>
      </c>
      <c r="F152" s="48">
        <f>F145*0.2</f>
        <v>2481</v>
      </c>
      <c r="G152" s="48">
        <f>G145*0.2</f>
        <v>339.20000000000005</v>
      </c>
      <c r="H152" s="48">
        <f>H145*0.2</f>
        <v>2495.6000000000004</v>
      </c>
      <c r="I152" s="132">
        <f>SUM(C152:H152)</f>
        <v>17246.801507030796</v>
      </c>
      <c r="J152" s="43">
        <f>I152</f>
        <v>17246.801507030796</v>
      </c>
      <c r="K152" s="188">
        <f>I152</f>
        <v>17246.801507030796</v>
      </c>
      <c r="L152" s="309"/>
      <c r="M152" s="309"/>
      <c r="N152" s="309"/>
      <c r="O152" s="310"/>
      <c r="P152" s="518"/>
      <c r="Q152" s="99"/>
      <c r="R152" s="12"/>
      <c r="S152" s="12"/>
      <c r="T152" s="12"/>
    </row>
    <row r="153" spans="1:20" ht="15">
      <c r="A153" s="75" t="s">
        <v>82</v>
      </c>
      <c r="B153" s="31" t="s">
        <v>759</v>
      </c>
      <c r="C153" s="4">
        <v>250</v>
      </c>
      <c r="D153" s="4">
        <v>34887</v>
      </c>
      <c r="E153" s="4">
        <v>7488</v>
      </c>
      <c r="F153" s="4">
        <v>1138.448260689239</v>
      </c>
      <c r="G153" s="4">
        <v>113.84482606892392</v>
      </c>
      <c r="H153" s="4">
        <v>8781</v>
      </c>
      <c r="I153" s="132">
        <f>SUM(C153:H153)</f>
        <v>52658.29308675817</v>
      </c>
      <c r="J153" s="43">
        <f>I153</f>
        <v>52658.29308675817</v>
      </c>
      <c r="K153" s="188">
        <f>I153</f>
        <v>52658.29308675817</v>
      </c>
      <c r="L153" s="309"/>
      <c r="M153" s="309"/>
      <c r="N153" s="309"/>
      <c r="O153" s="310"/>
      <c r="P153" s="518"/>
      <c r="Q153" s="99"/>
      <c r="R153" s="12"/>
      <c r="S153" s="12"/>
      <c r="T153" s="12"/>
    </row>
    <row r="154" spans="1:20" ht="15">
      <c r="A154" s="75" t="s">
        <v>83</v>
      </c>
      <c r="B154" s="31" t="s">
        <v>376</v>
      </c>
      <c r="C154" s="4">
        <v>1539</v>
      </c>
      <c r="D154" s="4">
        <f>D153</f>
        <v>34887</v>
      </c>
      <c r="E154" s="4">
        <f>E153</f>
        <v>7488</v>
      </c>
      <c r="F154" s="4">
        <f>F153</f>
        <v>1138.448260689239</v>
      </c>
      <c r="G154" s="4">
        <f>G153</f>
        <v>113.84482606892392</v>
      </c>
      <c r="H154" s="4">
        <f>H153</f>
        <v>8781</v>
      </c>
      <c r="I154" s="132">
        <f>SUM(C154:H154)</f>
        <v>53947.29308675817</v>
      </c>
      <c r="J154" s="43">
        <f>I154</f>
        <v>53947.29308675817</v>
      </c>
      <c r="K154" s="188">
        <f>I154</f>
        <v>53947.29308675817</v>
      </c>
      <c r="L154" s="309"/>
      <c r="M154" s="309"/>
      <c r="N154" s="309"/>
      <c r="O154" s="310"/>
      <c r="P154" s="518"/>
      <c r="Q154" s="99"/>
      <c r="R154" s="12"/>
      <c r="S154" s="12"/>
      <c r="T154" s="12"/>
    </row>
    <row r="155" spans="1:20" ht="15.75" thickBot="1">
      <c r="A155" s="75" t="s">
        <v>371</v>
      </c>
      <c r="B155" s="992" t="s">
        <v>373</v>
      </c>
      <c r="C155" s="190">
        <v>-74411</v>
      </c>
      <c r="D155" s="190">
        <v>-154634</v>
      </c>
      <c r="E155" s="190">
        <v>-118292</v>
      </c>
      <c r="F155" s="190">
        <v>-130950</v>
      </c>
      <c r="G155" s="190">
        <v>-69870</v>
      </c>
      <c r="H155" s="190">
        <v>-296462</v>
      </c>
      <c r="I155" s="270">
        <f>SUM(C155:H155)</f>
        <v>-844619</v>
      </c>
      <c r="J155" s="191">
        <f>I155</f>
        <v>-844619</v>
      </c>
      <c r="K155" s="192">
        <f>I155</f>
        <v>-844619</v>
      </c>
      <c r="L155" s="347"/>
      <c r="M155" s="347"/>
      <c r="N155" s="347"/>
      <c r="O155" s="348"/>
      <c r="P155" s="519"/>
      <c r="Q155" s="515"/>
      <c r="R155" s="12"/>
      <c r="S155" s="12"/>
      <c r="T155" s="12"/>
    </row>
    <row r="156" spans="1:20" s="213" customFormat="1" ht="12" hidden="1">
      <c r="A156" s="208"/>
      <c r="B156" s="209" t="s">
        <v>219</v>
      </c>
      <c r="C156" s="210">
        <f aca="true" t="shared" si="60" ref="C156:J156">C132-C133+C137-C145+C147+C150+C152+C153-C154+C155</f>
        <v>1999.838798357203</v>
      </c>
      <c r="D156" s="210">
        <f t="shared" si="60"/>
        <v>199.9735505382414</v>
      </c>
      <c r="E156" s="210">
        <f t="shared" si="60"/>
        <v>100.02572379610501</v>
      </c>
      <c r="F156" s="210">
        <f t="shared" si="60"/>
        <v>9.716889745468507</v>
      </c>
      <c r="G156" s="210">
        <f t="shared" si="60"/>
        <v>9.715654238912975</v>
      </c>
      <c r="H156" s="210">
        <f t="shared" si="60"/>
        <v>299.76883342512883</v>
      </c>
      <c r="I156" s="211">
        <f t="shared" si="60"/>
        <v>2619.039450100856</v>
      </c>
      <c r="J156" s="210">
        <f t="shared" si="60"/>
        <v>2618.181383383693</v>
      </c>
      <c r="K156" s="211"/>
      <c r="L156" s="218"/>
      <c r="M156" s="218"/>
      <c r="N156" s="218"/>
      <c r="O156" s="219"/>
      <c r="P156" s="520"/>
      <c r="Q156" s="516"/>
      <c r="R156" s="212"/>
      <c r="S156" s="212"/>
      <c r="T156" s="212"/>
    </row>
    <row r="157" spans="1:20" s="213" customFormat="1" ht="12.75" hidden="1" thickBot="1">
      <c r="A157" s="214"/>
      <c r="B157" s="215" t="s">
        <v>219</v>
      </c>
      <c r="C157" s="216">
        <f aca="true" t="shared" si="61" ref="C157:H157">C155-C156</f>
        <v>-76410.8387983572</v>
      </c>
      <c r="D157" s="216">
        <f t="shared" si="61"/>
        <v>-154833.97355053824</v>
      </c>
      <c r="E157" s="216">
        <f t="shared" si="61"/>
        <v>-118392.0257237961</v>
      </c>
      <c r="F157" s="216">
        <f t="shared" si="61"/>
        <v>-130959.71688974547</v>
      </c>
      <c r="G157" s="216">
        <f t="shared" si="61"/>
        <v>-69879.71565423891</v>
      </c>
      <c r="H157" s="216">
        <f t="shared" si="61"/>
        <v>-296761.7688334251</v>
      </c>
      <c r="I157" s="271">
        <f>SUM(C157:H157)</f>
        <v>-847238.0394501011</v>
      </c>
      <c r="J157" s="216">
        <f>J155-J156</f>
        <v>-847237.1813833837</v>
      </c>
      <c r="K157" s="217"/>
      <c r="L157" s="521"/>
      <c r="M157" s="521"/>
      <c r="N157" s="521"/>
      <c r="O157" s="522"/>
      <c r="P157" s="523"/>
      <c r="Q157" s="212"/>
      <c r="R157" s="212"/>
      <c r="S157" s="212"/>
      <c r="T157" s="212"/>
    </row>
    <row r="158" spans="1:27" s="169" customFormat="1" ht="15.75">
      <c r="A158" s="1062" t="s">
        <v>394</v>
      </c>
      <c r="B158" s="1063"/>
      <c r="C158" s="1063"/>
      <c r="D158" s="1063"/>
      <c r="E158" s="1063"/>
      <c r="F158" s="1063"/>
      <c r="G158" s="1063"/>
      <c r="H158" s="1063"/>
      <c r="I158" s="1063"/>
      <c r="J158" s="1063"/>
      <c r="K158" s="1064"/>
      <c r="L158" s="375"/>
      <c r="M158" s="376"/>
      <c r="N158" s="376"/>
      <c r="O158" s="377"/>
      <c r="P158" s="378"/>
      <c r="Q158" s="379"/>
      <c r="R158" s="185"/>
      <c r="S158" s="185"/>
      <c r="T158" s="185"/>
      <c r="U158" s="168"/>
      <c r="X158" s="357"/>
      <c r="Y158" s="357"/>
      <c r="Z158" s="357"/>
      <c r="AA158" s="357"/>
    </row>
    <row r="159" spans="1:27" s="42" customFormat="1" ht="15">
      <c r="A159" s="56" t="s">
        <v>51</v>
      </c>
      <c r="B159" s="90" t="s">
        <v>758</v>
      </c>
      <c r="C159" s="45">
        <f aca="true" t="shared" si="62" ref="C159:H159">C114+C116+C118+C120+C143+C147+C150-C148+C152+C153</f>
        <v>18470.490557508427</v>
      </c>
      <c r="D159" s="45">
        <f t="shared" si="62"/>
        <v>105458.57442754121</v>
      </c>
      <c r="E159" s="45">
        <f t="shared" si="62"/>
        <v>87922.89592335044</v>
      </c>
      <c r="F159" s="45">
        <f t="shared" si="62"/>
        <v>67787.22216098831</v>
      </c>
      <c r="G159" s="45">
        <f t="shared" si="62"/>
        <v>21632.22067650357</v>
      </c>
      <c r="H159" s="45">
        <f t="shared" si="62"/>
        <v>224338.94803504547</v>
      </c>
      <c r="I159" s="272">
        <f>SUM(C159:H159)</f>
        <v>525610.3517809374</v>
      </c>
      <c r="J159" s="45">
        <f>J114+J116+J118+J120+J143</f>
        <v>425376.001679557</v>
      </c>
      <c r="K159" s="205">
        <f>J159+I159</f>
        <v>950986.3534604944</v>
      </c>
      <c r="L159" s="524"/>
      <c r="M159" s="311"/>
      <c r="N159" s="311"/>
      <c r="O159" s="312"/>
      <c r="P159" s="507"/>
      <c r="Q159" s="517"/>
      <c r="R159" s="12"/>
      <c r="S159" s="12"/>
      <c r="T159" s="12"/>
      <c r="X159" s="82"/>
      <c r="Y159" s="82"/>
      <c r="Z159" s="82"/>
      <c r="AA159" s="82"/>
    </row>
    <row r="160" spans="1:27" s="42" customFormat="1" ht="15">
      <c r="A160" s="56" t="s">
        <v>38</v>
      </c>
      <c r="B160" s="19" t="s">
        <v>760</v>
      </c>
      <c r="C160" s="48">
        <f aca="true" t="shared" si="63" ref="C160:H160">C124+C126+C128+C130+C143+C147+C150-C148+C152+C153</f>
        <v>17890.46320386651</v>
      </c>
      <c r="D160" s="48">
        <f t="shared" si="63"/>
        <v>103119.94793684312</v>
      </c>
      <c r="E160" s="48">
        <f t="shared" si="63"/>
        <v>86086.80010538232</v>
      </c>
      <c r="F160" s="48">
        <f t="shared" si="63"/>
        <v>65675.0809413155</v>
      </c>
      <c r="G160" s="48">
        <f t="shared" si="63"/>
        <v>21239.712129394797</v>
      </c>
      <c r="H160" s="48">
        <f t="shared" si="63"/>
        <v>219612.60378222115</v>
      </c>
      <c r="I160" s="132">
        <f>SUM(C160:H160)</f>
        <v>513624.6080990234</v>
      </c>
      <c r="J160" s="48">
        <f>J124+J126+J128+J130+J143</f>
        <v>413390.257997643</v>
      </c>
      <c r="K160" s="205">
        <f>J160+I160</f>
        <v>927014.8660966664</v>
      </c>
      <c r="L160" s="484"/>
      <c r="M160" s="309"/>
      <c r="N160" s="309"/>
      <c r="O160" s="25"/>
      <c r="P160" s="508"/>
      <c r="Q160" s="99"/>
      <c r="R160" s="12"/>
      <c r="S160" s="12"/>
      <c r="T160" s="12"/>
      <c r="X160" s="82"/>
      <c r="Y160" s="82"/>
      <c r="Z160" s="82"/>
      <c r="AA160" s="82"/>
    </row>
    <row r="161" spans="1:20" s="66" customFormat="1" ht="15">
      <c r="A161" s="121" t="s">
        <v>135</v>
      </c>
      <c r="B161" s="64" t="s">
        <v>208</v>
      </c>
      <c r="C161" s="120">
        <f aca="true" t="shared" si="64" ref="C161:K161">C160-C159</f>
        <v>-580.0273536419154</v>
      </c>
      <c r="D161" s="120">
        <f t="shared" si="64"/>
        <v>-2338.626490698094</v>
      </c>
      <c r="E161" s="120">
        <f t="shared" si="64"/>
        <v>-1836.0958179681184</v>
      </c>
      <c r="F161" s="120">
        <f t="shared" si="64"/>
        <v>-2112.1412196728197</v>
      </c>
      <c r="G161" s="120">
        <f t="shared" si="64"/>
        <v>-392.5085471087732</v>
      </c>
      <c r="H161" s="120">
        <f t="shared" si="64"/>
        <v>-4726.344252824318</v>
      </c>
      <c r="I161" s="273">
        <f t="shared" si="64"/>
        <v>-11985.743681913998</v>
      </c>
      <c r="J161" s="120">
        <f t="shared" si="64"/>
        <v>-11985.743681913998</v>
      </c>
      <c r="K161" s="206">
        <f t="shared" si="64"/>
        <v>-23971.487363827997</v>
      </c>
      <c r="L161" s="392"/>
      <c r="M161" s="305"/>
      <c r="N161" s="305"/>
      <c r="O161" s="313"/>
      <c r="P161" s="393"/>
      <c r="Q161" s="368"/>
      <c r="R161" s="84"/>
      <c r="S161" s="84"/>
      <c r="T161" s="84"/>
    </row>
    <row r="162" spans="1:27" s="93" customFormat="1" ht="6.75" customHeight="1">
      <c r="A162" s="203"/>
      <c r="B162" s="13"/>
      <c r="C162" s="13"/>
      <c r="D162" s="13"/>
      <c r="E162" s="13"/>
      <c r="F162" s="13"/>
      <c r="G162" s="13"/>
      <c r="H162" s="13"/>
      <c r="I162" s="15"/>
      <c r="J162" s="13"/>
      <c r="K162" s="89"/>
      <c r="L162" s="229"/>
      <c r="M162" s="204"/>
      <c r="N162" s="204"/>
      <c r="O162" s="26"/>
      <c r="P162" s="372"/>
      <c r="Q162" s="367"/>
      <c r="R162" s="49"/>
      <c r="S162" s="49"/>
      <c r="T162" s="49"/>
      <c r="U162" s="49"/>
      <c r="X162" s="35"/>
      <c r="Y162" s="35"/>
      <c r="Z162" s="35"/>
      <c r="AA162" s="35"/>
    </row>
    <row r="163" spans="1:27" s="42" customFormat="1" ht="15">
      <c r="A163" s="56" t="s">
        <v>39</v>
      </c>
      <c r="B163" s="64" t="s">
        <v>379</v>
      </c>
      <c r="C163" s="29">
        <v>0.7</v>
      </c>
      <c r="D163" s="29">
        <v>0.7</v>
      </c>
      <c r="E163" s="29">
        <v>0.8</v>
      </c>
      <c r="F163" s="29">
        <v>0.75</v>
      </c>
      <c r="G163" s="29">
        <v>0.8</v>
      </c>
      <c r="H163" s="29">
        <v>0.8</v>
      </c>
      <c r="I163" s="274">
        <f>J163</f>
        <v>0.9514077245078519</v>
      </c>
      <c r="J163" s="29">
        <f>J166/J159</f>
        <v>0.9514077245078519</v>
      </c>
      <c r="K163" s="241">
        <f>J163</f>
        <v>0.9514077245078519</v>
      </c>
      <c r="L163" s="229"/>
      <c r="M163" s="204"/>
      <c r="N163" s="204"/>
      <c r="O163" s="26"/>
      <c r="P163" s="372"/>
      <c r="Q163" s="367"/>
      <c r="R163" s="49"/>
      <c r="S163" s="49"/>
      <c r="T163" s="49"/>
      <c r="X163" s="82"/>
      <c r="Y163" s="82"/>
      <c r="Z163" s="82"/>
      <c r="AA163" s="82"/>
    </row>
    <row r="164" spans="1:27" s="42" customFormat="1" ht="15">
      <c r="A164" s="56" t="s">
        <v>40</v>
      </c>
      <c r="B164" s="64" t="s">
        <v>380</v>
      </c>
      <c r="C164" s="29">
        <v>0.7</v>
      </c>
      <c r="D164" s="29">
        <v>0.7</v>
      </c>
      <c r="E164" s="29">
        <v>0.7</v>
      </c>
      <c r="F164" s="29">
        <v>0.7</v>
      </c>
      <c r="G164" s="29">
        <v>0.7</v>
      </c>
      <c r="H164" s="29">
        <v>0.7</v>
      </c>
      <c r="I164" s="274">
        <f>J164</f>
        <v>0.8697283467946801</v>
      </c>
      <c r="J164" s="29">
        <f>J167/J160</f>
        <v>0.8697283467946801</v>
      </c>
      <c r="K164" s="241">
        <f>J164</f>
        <v>0.8697283467946801</v>
      </c>
      <c r="L164" s="229"/>
      <c r="M164" s="204"/>
      <c r="N164" s="204"/>
      <c r="O164" s="26"/>
      <c r="P164" s="372"/>
      <c r="Q164" s="367"/>
      <c r="R164" s="49"/>
      <c r="S164" s="49"/>
      <c r="T164" s="49"/>
      <c r="X164" s="82"/>
      <c r="Y164" s="82"/>
      <c r="Z164" s="82"/>
      <c r="AA164" s="82"/>
    </row>
    <row r="165" spans="1:27" s="93" customFormat="1" ht="6.75" customHeight="1">
      <c r="A165" s="203"/>
      <c r="B165" s="13"/>
      <c r="C165" s="13"/>
      <c r="D165" s="13"/>
      <c r="E165" s="13"/>
      <c r="F165" s="13"/>
      <c r="G165" s="13"/>
      <c r="H165" s="13"/>
      <c r="I165" s="15"/>
      <c r="J165" s="13"/>
      <c r="K165" s="89"/>
      <c r="L165" s="229"/>
      <c r="M165" s="204"/>
      <c r="N165" s="204"/>
      <c r="O165" s="26"/>
      <c r="P165" s="372"/>
      <c r="Q165" s="367"/>
      <c r="R165" s="49"/>
      <c r="S165" s="49"/>
      <c r="T165" s="49"/>
      <c r="U165" s="49"/>
      <c r="X165" s="35"/>
      <c r="Y165" s="35"/>
      <c r="Z165" s="35"/>
      <c r="AA165" s="35"/>
    </row>
    <row r="166" spans="1:27" s="42" customFormat="1" ht="15">
      <c r="A166" s="55" t="s">
        <v>41</v>
      </c>
      <c r="B166" s="19" t="s">
        <v>756</v>
      </c>
      <c r="C166" s="48">
        <f aca="true" t="shared" si="65" ref="C166:H167">C159*C163</f>
        <v>12929.343390255897</v>
      </c>
      <c r="D166" s="48">
        <f t="shared" si="65"/>
        <v>73821.00209927885</v>
      </c>
      <c r="E166" s="48">
        <f t="shared" si="65"/>
        <v>70338.31673868035</v>
      </c>
      <c r="F166" s="48">
        <f t="shared" si="65"/>
        <v>50840.416620741235</v>
      </c>
      <c r="G166" s="48">
        <f t="shared" si="65"/>
        <v>17305.776541202857</v>
      </c>
      <c r="H166" s="48">
        <f t="shared" si="65"/>
        <v>179471.15842803637</v>
      </c>
      <c r="I166" s="272">
        <f>SUM(C166:H166)</f>
        <v>404706.01381819556</v>
      </c>
      <c r="J166" s="48">
        <f>I166</f>
        <v>404706.01381819556</v>
      </c>
      <c r="K166" s="188">
        <f>I166</f>
        <v>404706.01381819556</v>
      </c>
      <c r="L166" s="484"/>
      <c r="M166" s="309"/>
      <c r="N166" s="309"/>
      <c r="O166" s="25"/>
      <c r="P166" s="508"/>
      <c r="Q166" s="99"/>
      <c r="R166" s="12"/>
      <c r="S166" s="12"/>
      <c r="T166" s="12"/>
      <c r="X166" s="82"/>
      <c r="Y166" s="82"/>
      <c r="Z166" s="82"/>
      <c r="AA166" s="82"/>
    </row>
    <row r="167" spans="1:27" s="42" customFormat="1" ht="15">
      <c r="A167" s="55" t="s">
        <v>52</v>
      </c>
      <c r="B167" s="19" t="s">
        <v>757</v>
      </c>
      <c r="C167" s="48">
        <f t="shared" si="65"/>
        <v>12523.324242706558</v>
      </c>
      <c r="D167" s="48">
        <f t="shared" si="65"/>
        <v>72183.96355579018</v>
      </c>
      <c r="E167" s="48">
        <f t="shared" si="65"/>
        <v>60260.760073767626</v>
      </c>
      <c r="F167" s="48">
        <f t="shared" si="65"/>
        <v>45972.55665892084</v>
      </c>
      <c r="G167" s="48">
        <f t="shared" si="65"/>
        <v>14867.798490576357</v>
      </c>
      <c r="H167" s="48">
        <f t="shared" si="65"/>
        <v>153728.8226475548</v>
      </c>
      <c r="I167" s="272">
        <f>SUM(C167:H167)</f>
        <v>359537.22566931637</v>
      </c>
      <c r="J167" s="48">
        <f>I167</f>
        <v>359537.22566931637</v>
      </c>
      <c r="K167" s="188">
        <f>I167</f>
        <v>359537.22566931637</v>
      </c>
      <c r="L167" s="484"/>
      <c r="M167" s="309"/>
      <c r="N167" s="309"/>
      <c r="O167" s="25"/>
      <c r="P167" s="508"/>
      <c r="Q167" s="99"/>
      <c r="R167" s="12"/>
      <c r="S167" s="12"/>
      <c r="T167" s="12"/>
      <c r="X167" s="82"/>
      <c r="Y167" s="82"/>
      <c r="Z167" s="82"/>
      <c r="AA167" s="82"/>
    </row>
    <row r="168" spans="1:20" s="66" customFormat="1" ht="15">
      <c r="A168" s="63" t="s">
        <v>141</v>
      </c>
      <c r="B168" s="119" t="s">
        <v>243</v>
      </c>
      <c r="C168" s="120">
        <f>C167-C166</f>
        <v>-406.0191475493393</v>
      </c>
      <c r="D168" s="120">
        <f aca="true" t="shared" si="66" ref="D168:J168">D167-D166</f>
        <v>-1637.0385434886703</v>
      </c>
      <c r="E168" s="120">
        <f t="shared" si="66"/>
        <v>-10077.556664912729</v>
      </c>
      <c r="F168" s="120">
        <f t="shared" si="66"/>
        <v>-4867.859961820395</v>
      </c>
      <c r="G168" s="120">
        <f t="shared" si="66"/>
        <v>-2437.9780506264997</v>
      </c>
      <c r="H168" s="120">
        <f t="shared" si="66"/>
        <v>-25742.335780481575</v>
      </c>
      <c r="I168" s="273">
        <f>SUM(C168:H168)</f>
        <v>-45168.78814887921</v>
      </c>
      <c r="J168" s="120">
        <f t="shared" si="66"/>
        <v>-45168.78814887919</v>
      </c>
      <c r="K168" s="188">
        <f>I168</f>
        <v>-45168.78814887921</v>
      </c>
      <c r="L168" s="392"/>
      <c r="M168" s="305"/>
      <c r="N168" s="305"/>
      <c r="O168" s="313"/>
      <c r="P168" s="393"/>
      <c r="Q168" s="368"/>
      <c r="R168" s="84"/>
      <c r="S168" s="84"/>
      <c r="T168" s="84"/>
    </row>
    <row r="169" spans="1:20" ht="15">
      <c r="A169" s="55" t="s">
        <v>137</v>
      </c>
      <c r="B169" s="118" t="s">
        <v>400</v>
      </c>
      <c r="C169" s="45">
        <f aca="true" t="shared" si="67" ref="C169:H169">(C145)*0.9</f>
        <v>6500.768080985107</v>
      </c>
      <c r="D169" s="45">
        <f t="shared" si="67"/>
        <v>46797.92819823267</v>
      </c>
      <c r="E169" s="45">
        <f t="shared" si="67"/>
        <v>12090.292551978951</v>
      </c>
      <c r="F169" s="45">
        <f t="shared" si="67"/>
        <v>11164.5</v>
      </c>
      <c r="G169" s="45">
        <f t="shared" si="67"/>
        <v>1526.4</v>
      </c>
      <c r="H169" s="45">
        <f t="shared" si="67"/>
        <v>11230.2</v>
      </c>
      <c r="I169" s="132">
        <f>SUM(C169:H169)</f>
        <v>89310.08883119673</v>
      </c>
      <c r="J169" s="48">
        <f>I169</f>
        <v>89310.08883119673</v>
      </c>
      <c r="K169" s="188">
        <f>I169</f>
        <v>89310.08883119673</v>
      </c>
      <c r="L169" s="229"/>
      <c r="M169" s="204"/>
      <c r="N169" s="204"/>
      <c r="O169" s="26"/>
      <c r="P169" s="372"/>
      <c r="Q169" s="99"/>
      <c r="R169" s="12"/>
      <c r="S169" s="12"/>
      <c r="T169" s="12"/>
    </row>
    <row r="170" spans="1:20" ht="15">
      <c r="A170" s="55" t="s">
        <v>138</v>
      </c>
      <c r="B170" s="5" t="s">
        <v>401</v>
      </c>
      <c r="C170" s="4">
        <f aca="true" t="shared" si="68" ref="C170:H170">C145</f>
        <v>7223.075645539007</v>
      </c>
      <c r="D170" s="4">
        <f t="shared" si="68"/>
        <v>51997.6979980363</v>
      </c>
      <c r="E170" s="4">
        <f t="shared" si="68"/>
        <v>13433.658391087723</v>
      </c>
      <c r="F170" s="4">
        <f t="shared" si="68"/>
        <v>12405</v>
      </c>
      <c r="G170" s="4">
        <f t="shared" si="68"/>
        <v>1696</v>
      </c>
      <c r="H170" s="4">
        <f t="shared" si="68"/>
        <v>12478</v>
      </c>
      <c r="I170" s="132">
        <f>SUM(C170:H170)</f>
        <v>99233.43203466304</v>
      </c>
      <c r="J170" s="48">
        <f>I170</f>
        <v>99233.43203466304</v>
      </c>
      <c r="K170" s="188">
        <f>I170</f>
        <v>99233.43203466304</v>
      </c>
      <c r="L170" s="229"/>
      <c r="M170" s="204"/>
      <c r="N170" s="204"/>
      <c r="O170" s="26"/>
      <c r="P170" s="372"/>
      <c r="Q170" s="99"/>
      <c r="R170" s="12"/>
      <c r="S170" s="12"/>
      <c r="T170" s="12"/>
    </row>
    <row r="171" spans="1:27" s="93" customFormat="1" ht="6.75" customHeight="1">
      <c r="A171" s="203"/>
      <c r="B171" s="13"/>
      <c r="C171" s="13"/>
      <c r="D171" s="13"/>
      <c r="E171" s="13"/>
      <c r="F171" s="13"/>
      <c r="G171" s="13"/>
      <c r="H171" s="13"/>
      <c r="I171" s="15"/>
      <c r="J171" s="13"/>
      <c r="K171" s="89"/>
      <c r="L171" s="229"/>
      <c r="M171" s="204"/>
      <c r="N171" s="204"/>
      <c r="O171" s="26"/>
      <c r="P171" s="372"/>
      <c r="Q171" s="367"/>
      <c r="R171" s="49"/>
      <c r="S171" s="49"/>
      <c r="T171" s="49"/>
      <c r="U171" s="49"/>
      <c r="X171" s="35"/>
      <c r="Y171" s="35"/>
      <c r="Z171" s="35"/>
      <c r="AA171" s="35"/>
    </row>
    <row r="172" spans="1:96" s="128" customFormat="1" ht="15">
      <c r="A172" s="73" t="s">
        <v>139</v>
      </c>
      <c r="B172" s="64" t="s">
        <v>377</v>
      </c>
      <c r="C172" s="58">
        <f aca="true" t="shared" si="69" ref="C172:I173">((C166-C169)/C166)*100</f>
        <v>49.72081810523834</v>
      </c>
      <c r="D172" s="58">
        <f t="shared" si="69"/>
        <v>36.60621385863057</v>
      </c>
      <c r="E172" s="58">
        <f t="shared" si="69"/>
        <v>82.81122848461588</v>
      </c>
      <c r="F172" s="58">
        <f t="shared" si="69"/>
        <v>78.04010914527942</v>
      </c>
      <c r="G172" s="58">
        <f t="shared" si="69"/>
        <v>91.1798237058832</v>
      </c>
      <c r="H172" s="58">
        <f t="shared" si="69"/>
        <v>93.7426157504282</v>
      </c>
      <c r="I172" s="276">
        <f t="shared" si="69"/>
        <v>77.93210731202103</v>
      </c>
      <c r="J172" s="58">
        <f>I172</f>
        <v>77.93210731202103</v>
      </c>
      <c r="K172" s="194">
        <f>((K166-K169)/K166)*100</f>
        <v>77.93210731202103</v>
      </c>
      <c r="L172" s="380"/>
      <c r="M172" s="314"/>
      <c r="N172" s="314"/>
      <c r="O172" s="381"/>
      <c r="P172" s="382"/>
      <c r="Q172" s="368"/>
      <c r="R172" s="84"/>
      <c r="S172" s="84"/>
      <c r="T172" s="84"/>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6"/>
      <c r="CL172" s="66"/>
      <c r="CM172" s="66"/>
      <c r="CN172" s="66"/>
      <c r="CO172" s="66"/>
      <c r="CP172" s="66"/>
      <c r="CQ172" s="66"/>
      <c r="CR172" s="66"/>
    </row>
    <row r="173" spans="1:96" s="128" customFormat="1" ht="15.75" thickBot="1">
      <c r="A173" s="74" t="s">
        <v>140</v>
      </c>
      <c r="B173" s="207" t="s">
        <v>378</v>
      </c>
      <c r="C173" s="290">
        <f t="shared" si="69"/>
        <v>42.323016592454316</v>
      </c>
      <c r="D173" s="290">
        <f t="shared" si="69"/>
        <v>27.96502791392459</v>
      </c>
      <c r="E173" s="290">
        <f t="shared" si="69"/>
        <v>77.7074527857879</v>
      </c>
      <c r="F173" s="290">
        <f t="shared" si="69"/>
        <v>73.01651049769744</v>
      </c>
      <c r="G173" s="290">
        <f t="shared" si="69"/>
        <v>88.59279670036572</v>
      </c>
      <c r="H173" s="290">
        <f t="shared" si="69"/>
        <v>91.88310963090663</v>
      </c>
      <c r="I173" s="291">
        <f t="shared" si="69"/>
        <v>72.3996779888565</v>
      </c>
      <c r="J173" s="290">
        <f>I173</f>
        <v>72.3996779888565</v>
      </c>
      <c r="K173" s="292">
        <f>((K167-K170)/K167)*100</f>
        <v>72.3996779888565</v>
      </c>
      <c r="L173" s="383"/>
      <c r="M173" s="337"/>
      <c r="N173" s="337"/>
      <c r="O173" s="384"/>
      <c r="P173" s="385"/>
      <c r="Q173" s="369"/>
      <c r="R173" s="84"/>
      <c r="S173" s="84"/>
      <c r="T173" s="84"/>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6"/>
      <c r="CB173" s="66"/>
      <c r="CC173" s="66"/>
      <c r="CD173" s="66"/>
      <c r="CE173" s="66"/>
      <c r="CF173" s="66"/>
      <c r="CG173" s="66"/>
      <c r="CH173" s="66"/>
      <c r="CI173" s="66"/>
      <c r="CJ173" s="66"/>
      <c r="CK173" s="66"/>
      <c r="CL173" s="66"/>
      <c r="CM173" s="66"/>
      <c r="CN173" s="66"/>
      <c r="CO173" s="66"/>
      <c r="CP173" s="66"/>
      <c r="CQ173" s="66"/>
      <c r="CR173" s="66"/>
    </row>
    <row r="174" spans="1:96" s="128" customFormat="1" ht="15.75" thickBot="1">
      <c r="A174" s="221"/>
      <c r="B174" s="84"/>
      <c r="C174" s="564"/>
      <c r="D174" s="564"/>
      <c r="E174" s="564"/>
      <c r="F174" s="564"/>
      <c r="G174" s="564"/>
      <c r="H174" s="564"/>
      <c r="I174" s="565"/>
      <c r="J174" s="564"/>
      <c r="K174" s="565"/>
      <c r="L174" s="566"/>
      <c r="M174" s="566"/>
      <c r="N174" s="566"/>
      <c r="O174" s="566"/>
      <c r="P174" s="566"/>
      <c r="Q174" s="567"/>
      <c r="R174" s="84"/>
      <c r="S174" s="84"/>
      <c r="T174" s="84"/>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66"/>
      <c r="BY174" s="66"/>
      <c r="BZ174" s="66"/>
      <c r="CA174" s="66"/>
      <c r="CB174" s="66"/>
      <c r="CC174" s="66"/>
      <c r="CD174" s="66"/>
      <c r="CE174" s="66"/>
      <c r="CF174" s="66"/>
      <c r="CG174" s="66"/>
      <c r="CH174" s="66"/>
      <c r="CI174" s="66"/>
      <c r="CJ174" s="66"/>
      <c r="CK174" s="66"/>
      <c r="CL174" s="66"/>
      <c r="CM174" s="66"/>
      <c r="CN174" s="66"/>
      <c r="CO174" s="66"/>
      <c r="CP174" s="66"/>
      <c r="CQ174" s="66"/>
      <c r="CR174" s="66"/>
    </row>
    <row r="175" spans="1:46" s="50" customFormat="1" ht="18.75" customHeight="1">
      <c r="A175" s="1036" t="s">
        <v>792</v>
      </c>
      <c r="B175" s="1037"/>
      <c r="C175" s="1101" t="s">
        <v>35</v>
      </c>
      <c r="D175" s="1102"/>
      <c r="E175" s="1102"/>
      <c r="F175" s="1102"/>
      <c r="G175" s="1102"/>
      <c r="H175" s="1102"/>
      <c r="I175" s="1102"/>
      <c r="J175" s="1103"/>
      <c r="K175" s="1048" t="s">
        <v>295</v>
      </c>
      <c r="L175" s="1098" t="s">
        <v>0</v>
      </c>
      <c r="M175" s="1097"/>
      <c r="N175" s="1097"/>
      <c r="O175" s="1099"/>
      <c r="P175" s="370" t="s">
        <v>2</v>
      </c>
      <c r="Q175" s="1053" t="s">
        <v>329</v>
      </c>
      <c r="R175" s="57"/>
      <c r="S175" s="57"/>
      <c r="T175" s="57"/>
      <c r="U175" s="96"/>
      <c r="V175" s="96"/>
      <c r="W175" s="96"/>
      <c r="X175" s="358"/>
      <c r="Y175" s="358"/>
      <c r="Z175" s="358"/>
      <c r="AA175" s="358"/>
      <c r="AB175" s="96"/>
      <c r="AC175" s="96"/>
      <c r="AD175" s="96"/>
      <c r="AE175" s="96"/>
      <c r="AF175" s="96"/>
      <c r="AG175" s="96"/>
      <c r="AH175" s="96"/>
      <c r="AI175" s="96"/>
      <c r="AJ175" s="96"/>
      <c r="AK175" s="96"/>
      <c r="AL175" s="96"/>
      <c r="AM175" s="96"/>
      <c r="AN175" s="96"/>
      <c r="AO175" s="96"/>
      <c r="AP175" s="96"/>
      <c r="AQ175" s="96"/>
      <c r="AR175" s="96"/>
      <c r="AS175" s="96"/>
      <c r="AT175" s="96"/>
    </row>
    <row r="176" spans="1:46" s="32" customFormat="1" ht="60.75" thickBot="1">
      <c r="A176" s="1040"/>
      <c r="B176" s="1041"/>
      <c r="C176" s="193" t="s">
        <v>149</v>
      </c>
      <c r="D176" s="193" t="s">
        <v>150</v>
      </c>
      <c r="E176" s="193" t="s">
        <v>153</v>
      </c>
      <c r="F176" s="193" t="s">
        <v>151</v>
      </c>
      <c r="G176" s="193" t="s">
        <v>152</v>
      </c>
      <c r="H176" s="193" t="s">
        <v>32</v>
      </c>
      <c r="I176" s="153" t="s">
        <v>1</v>
      </c>
      <c r="J176" s="193" t="s">
        <v>229</v>
      </c>
      <c r="K176" s="1049"/>
      <c r="L176" s="353" t="s">
        <v>293</v>
      </c>
      <c r="M176" s="152" t="s">
        <v>291</v>
      </c>
      <c r="N176" s="354" t="s">
        <v>297</v>
      </c>
      <c r="O176" s="371" t="s">
        <v>495</v>
      </c>
      <c r="P176" s="371" t="s">
        <v>495</v>
      </c>
      <c r="Q176" s="1054"/>
      <c r="R176" s="57"/>
      <c r="S176" s="57"/>
      <c r="T176" s="57"/>
      <c r="U176" s="85"/>
      <c r="V176" s="85"/>
      <c r="W176" s="85"/>
      <c r="X176" s="81"/>
      <c r="Y176" s="81"/>
      <c r="Z176" s="81"/>
      <c r="AA176" s="81"/>
      <c r="AB176" s="85"/>
      <c r="AC176" s="85"/>
      <c r="AD176" s="85"/>
      <c r="AE176" s="85"/>
      <c r="AF176" s="85"/>
      <c r="AG176" s="85"/>
      <c r="AH176" s="85"/>
      <c r="AI176" s="85"/>
      <c r="AJ176" s="85"/>
      <c r="AK176" s="85"/>
      <c r="AL176" s="85"/>
      <c r="AM176" s="85"/>
      <c r="AN176" s="85"/>
      <c r="AO176" s="85"/>
      <c r="AP176" s="85"/>
      <c r="AQ176" s="85"/>
      <c r="AR176" s="85"/>
      <c r="AS176" s="85"/>
      <c r="AT176" s="85"/>
    </row>
    <row r="177" spans="1:27" s="169" customFormat="1" ht="15.75">
      <c r="A177" s="1111" t="s">
        <v>244</v>
      </c>
      <c r="B177" s="1060"/>
      <c r="C177" s="1060"/>
      <c r="D177" s="1060"/>
      <c r="E177" s="1060"/>
      <c r="F177" s="1060"/>
      <c r="G177" s="1060"/>
      <c r="H177" s="1060"/>
      <c r="I177" s="1060"/>
      <c r="J177" s="1060"/>
      <c r="K177" s="1061"/>
      <c r="L177" s="375"/>
      <c r="M177" s="376"/>
      <c r="N177" s="376"/>
      <c r="O177" s="377"/>
      <c r="P177" s="378"/>
      <c r="Q177" s="379"/>
      <c r="R177" s="185"/>
      <c r="S177" s="185"/>
      <c r="T177" s="185"/>
      <c r="U177" s="168"/>
      <c r="X177" s="357"/>
      <c r="Y177" s="357"/>
      <c r="Z177" s="357"/>
      <c r="AA177" s="357"/>
    </row>
    <row r="178" spans="1:17" s="93" customFormat="1" ht="15.75">
      <c r="A178" s="573" t="s">
        <v>42</v>
      </c>
      <c r="B178" s="574" t="s">
        <v>518</v>
      </c>
      <c r="C178" s="410">
        <v>6561.79921873</v>
      </c>
      <c r="D178" s="410">
        <v>8307.893703238002</v>
      </c>
      <c r="E178" s="410">
        <v>16368.810441461997</v>
      </c>
      <c r="F178" s="410">
        <v>14988.374435261252</v>
      </c>
      <c r="G178" s="410">
        <v>24757.985339639203</v>
      </c>
      <c r="H178" s="410">
        <v>16535.217464102836</v>
      </c>
      <c r="I178" s="410">
        <f>SUM(C178:H178)</f>
        <v>87520.08060243329</v>
      </c>
      <c r="J178" s="589"/>
      <c r="K178" s="410">
        <f aca="true" t="shared" si="70" ref="K178:K189">I178</f>
        <v>87520.08060243329</v>
      </c>
      <c r="L178" s="578"/>
      <c r="M178" s="579"/>
      <c r="N178" s="579"/>
      <c r="O178" s="580"/>
      <c r="P178" s="581"/>
      <c r="Q178" s="374"/>
    </row>
    <row r="179" spans="1:17" s="93" customFormat="1" ht="15">
      <c r="A179" s="576" t="s">
        <v>402</v>
      </c>
      <c r="B179" s="585" t="s">
        <v>520</v>
      </c>
      <c r="C179" s="58">
        <f aca="true" t="shared" si="71" ref="C179:I179">C178/C$8*1000</f>
        <v>18.683401242532604</v>
      </c>
      <c r="D179" s="58">
        <f t="shared" si="71"/>
        <v>10.992112797823683</v>
      </c>
      <c r="E179" s="58">
        <f t="shared" si="71"/>
        <v>27.69250130260984</v>
      </c>
      <c r="F179" s="58">
        <f t="shared" si="71"/>
        <v>22.017115860519638</v>
      </c>
      <c r="G179" s="58">
        <f t="shared" si="71"/>
        <v>57.17895862878689</v>
      </c>
      <c r="H179" s="58">
        <f t="shared" si="71"/>
        <v>10.92952180087889</v>
      </c>
      <c r="I179" s="58">
        <f t="shared" si="71"/>
        <v>20.23701219141126</v>
      </c>
      <c r="J179" s="577"/>
      <c r="K179" s="58">
        <f t="shared" si="70"/>
        <v>20.23701219141126</v>
      </c>
      <c r="L179" s="578"/>
      <c r="M179" s="579"/>
      <c r="N179" s="579"/>
      <c r="O179" s="580"/>
      <c r="P179" s="581"/>
      <c r="Q179" s="374"/>
    </row>
    <row r="180" spans="1:17" s="83" customFormat="1" ht="15">
      <c r="A180" s="576" t="s">
        <v>403</v>
      </c>
      <c r="B180" s="588" t="s">
        <v>517</v>
      </c>
      <c r="C180" s="240">
        <v>-186.09</v>
      </c>
      <c r="D180" s="240">
        <v>172.32075</v>
      </c>
      <c r="E180" s="240">
        <v>-338.660333333333</v>
      </c>
      <c r="F180" s="240">
        <v>14.7605</v>
      </c>
      <c r="G180" s="240">
        <v>-9.54056</v>
      </c>
      <c r="H180" s="240">
        <v>-36.8200555555555</v>
      </c>
      <c r="I180" s="240">
        <v>-384.0296988888885</v>
      </c>
      <c r="J180" s="577"/>
      <c r="K180" s="240">
        <f t="shared" si="70"/>
        <v>-384.0296988888885</v>
      </c>
      <c r="L180" s="578"/>
      <c r="M180" s="579"/>
      <c r="N180" s="579"/>
      <c r="O180" s="580"/>
      <c r="P180" s="581"/>
      <c r="Q180" s="374"/>
    </row>
    <row r="181" spans="1:17" s="42" customFormat="1" ht="15">
      <c r="A181" s="576" t="s">
        <v>404</v>
      </c>
      <c r="B181" s="585" t="s">
        <v>408</v>
      </c>
      <c r="C181" s="740">
        <f>(C180/C178)</f>
        <v>-0.028359599828782434</v>
      </c>
      <c r="D181" s="740">
        <f aca="true" t="shared" si="72" ref="D181:I181">(D180/D178)</f>
        <v>0.020741809675879457</v>
      </c>
      <c r="E181" s="740">
        <f t="shared" si="72"/>
        <v>-0.020689367412766325</v>
      </c>
      <c r="F181" s="740">
        <f t="shared" si="72"/>
        <v>0.0009847965877657046</v>
      </c>
      <c r="G181" s="740">
        <f t="shared" si="72"/>
        <v>-0.00038535284148201346</v>
      </c>
      <c r="H181" s="740">
        <f t="shared" si="72"/>
        <v>-0.0022267657280885525</v>
      </c>
      <c r="I181" s="740">
        <f t="shared" si="72"/>
        <v>-0.0043879038529840144</v>
      </c>
      <c r="J181" s="577"/>
      <c r="K181" s="591">
        <f t="shared" si="70"/>
        <v>-0.0043879038529840144</v>
      </c>
      <c r="L181" s="578"/>
      <c r="M181" s="579"/>
      <c r="N181" s="579"/>
      <c r="O181" s="580"/>
      <c r="P181" s="581"/>
      <c r="Q181" s="374"/>
    </row>
    <row r="182" spans="1:17" s="93" customFormat="1" ht="15.75">
      <c r="A182" s="573" t="s">
        <v>43</v>
      </c>
      <c r="B182" s="574" t="s">
        <v>519</v>
      </c>
      <c r="C182" s="410">
        <v>281.302</v>
      </c>
      <c r="D182" s="410">
        <v>66616</v>
      </c>
      <c r="E182" s="410">
        <v>16862.06666666667</v>
      </c>
      <c r="F182" s="410">
        <v>60908.5</v>
      </c>
      <c r="G182" s="410">
        <v>14355.26</v>
      </c>
      <c r="H182" s="410">
        <v>27073.333333333332</v>
      </c>
      <c r="I182" s="410">
        <f>SUM(C182:H182)</f>
        <v>186096.46200000003</v>
      </c>
      <c r="J182" s="589"/>
      <c r="K182" s="410">
        <f t="shared" si="70"/>
        <v>186096.46200000003</v>
      </c>
      <c r="L182" s="578"/>
      <c r="M182" s="579"/>
      <c r="N182" s="579"/>
      <c r="O182" s="580"/>
      <c r="P182" s="581"/>
      <c r="Q182" s="374"/>
    </row>
    <row r="183" spans="1:17" s="42" customFormat="1" ht="15">
      <c r="A183" s="576" t="s">
        <v>405</v>
      </c>
      <c r="B183" s="585" t="s">
        <v>521</v>
      </c>
      <c r="C183" s="58">
        <f aca="true" t="shared" si="73" ref="C183:I183">C182/C$8*1000</f>
        <v>0.800950769923758</v>
      </c>
      <c r="D183" s="58">
        <f t="shared" si="73"/>
        <v>88.13913758362459</v>
      </c>
      <c r="E183" s="58">
        <f t="shared" si="73"/>
        <v>28.52698458457158</v>
      </c>
      <c r="F183" s="58">
        <f t="shared" si="73"/>
        <v>89.47131039344666</v>
      </c>
      <c r="G183" s="58">
        <f t="shared" si="73"/>
        <v>33.15369996327177</v>
      </c>
      <c r="H183" s="58">
        <f t="shared" si="73"/>
        <v>17.895052637288227</v>
      </c>
      <c r="I183" s="58">
        <f t="shared" si="73"/>
        <v>43.0305404696782</v>
      </c>
      <c r="J183" s="577"/>
      <c r="K183" s="591">
        <f t="shared" si="70"/>
        <v>43.0305404696782</v>
      </c>
      <c r="L183" s="578"/>
      <c r="M183" s="579"/>
      <c r="N183" s="579"/>
      <c r="O183" s="580"/>
      <c r="P183" s="581"/>
      <c r="Q183" s="374"/>
    </row>
    <row r="184" spans="1:17" s="93" customFormat="1" ht="15.75">
      <c r="A184" s="573" t="s">
        <v>406</v>
      </c>
      <c r="B184" s="574" t="s">
        <v>788</v>
      </c>
      <c r="C184" s="410">
        <v>2224.2119052276003</v>
      </c>
      <c r="D184" s="410">
        <v>6883.482677369602</v>
      </c>
      <c r="E184" s="410">
        <v>6623.020854197</v>
      </c>
      <c r="F184" s="410">
        <v>14658.883575609</v>
      </c>
      <c r="G184" s="410">
        <v>25394.217414108</v>
      </c>
      <c r="H184" s="410">
        <v>27836.319841267006</v>
      </c>
      <c r="I184" s="410">
        <f>SUM(C184:H184)</f>
        <v>83620.1362677782</v>
      </c>
      <c r="J184" s="589"/>
      <c r="K184" s="410">
        <f t="shared" si="70"/>
        <v>83620.1362677782</v>
      </c>
      <c r="L184" s="578"/>
      <c r="M184" s="579"/>
      <c r="N184" s="579"/>
      <c r="O184" s="580"/>
      <c r="P184" s="581"/>
      <c r="Q184" s="374"/>
    </row>
    <row r="185" spans="1:17" s="93" customFormat="1" ht="15">
      <c r="A185" s="576" t="s">
        <v>143</v>
      </c>
      <c r="B185" s="582" t="s">
        <v>522</v>
      </c>
      <c r="C185" s="43">
        <f aca="true" t="shared" si="74" ref="C185:I185">C184/C$8*1000</f>
        <v>6.3329952789729</v>
      </c>
      <c r="D185" s="43">
        <f t="shared" si="74"/>
        <v>9.107485089996036</v>
      </c>
      <c r="E185" s="43">
        <f t="shared" si="74"/>
        <v>11.20472463701408</v>
      </c>
      <c r="F185" s="43">
        <f t="shared" si="74"/>
        <v>21.533111510129295</v>
      </c>
      <c r="G185" s="43">
        <f t="shared" si="74"/>
        <v>58.648346665224295</v>
      </c>
      <c r="H185" s="43">
        <f t="shared" si="74"/>
        <v>18.39937486288588</v>
      </c>
      <c r="I185" s="43">
        <f t="shared" si="74"/>
        <v>19.335239472476562</v>
      </c>
      <c r="J185" s="577"/>
      <c r="K185" s="43">
        <f t="shared" si="70"/>
        <v>19.335239472476562</v>
      </c>
      <c r="L185" s="578"/>
      <c r="M185" s="579"/>
      <c r="N185" s="579"/>
      <c r="O185" s="580"/>
      <c r="P185" s="581"/>
      <c r="Q185" s="374"/>
    </row>
    <row r="186" spans="1:17" s="93" customFormat="1" ht="15.75">
      <c r="A186" s="573" t="s">
        <v>44</v>
      </c>
      <c r="B186" s="574" t="s">
        <v>525</v>
      </c>
      <c r="C186" s="410">
        <f>C188*(1-C181)</f>
        <v>987.9339362462721</v>
      </c>
      <c r="D186" s="410">
        <f aca="true" t="shared" si="75" ref="D186:I186">D188*(1-D181)</f>
        <v>16289.845649408464</v>
      </c>
      <c r="E186" s="410">
        <f t="shared" si="75"/>
        <v>11990.645413019434</v>
      </c>
      <c r="F186" s="410">
        <f t="shared" si="75"/>
        <v>21343.877813407606</v>
      </c>
      <c r="G186" s="410">
        <f t="shared" si="75"/>
        <v>13335.690665005259</v>
      </c>
      <c r="H186" s="410">
        <f t="shared" si="75"/>
        <v>14994.321771081208</v>
      </c>
      <c r="I186" s="410">
        <f t="shared" si="75"/>
        <v>79346.28908397492</v>
      </c>
      <c r="J186" s="589"/>
      <c r="K186" s="410">
        <f t="shared" si="70"/>
        <v>79346.28908397492</v>
      </c>
      <c r="L186" s="578"/>
      <c r="M186" s="579"/>
      <c r="N186" s="579"/>
      <c r="O186" s="580"/>
      <c r="P186" s="581"/>
      <c r="Q186" s="374"/>
    </row>
    <row r="187" spans="1:17" s="93" customFormat="1" ht="15">
      <c r="A187" s="576" t="s">
        <v>407</v>
      </c>
      <c r="B187" s="582" t="s">
        <v>524</v>
      </c>
      <c r="C187" s="43">
        <f>C186/C$8*1000</f>
        <v>2.8129428403291143</v>
      </c>
      <c r="D187" s="43">
        <f aca="true" t="shared" si="76" ref="D187:I187">D186/D$8*1000</f>
        <v>21.552974464231127</v>
      </c>
      <c r="E187" s="43">
        <f t="shared" si="76"/>
        <v>20.28558916401722</v>
      </c>
      <c r="F187" s="43">
        <f t="shared" si="76"/>
        <v>31.35300847735852</v>
      </c>
      <c r="G187" s="43">
        <f t="shared" si="76"/>
        <v>30.798988462109953</v>
      </c>
      <c r="H187" s="43">
        <f t="shared" si="76"/>
        <v>9.911013691970023</v>
      </c>
      <c r="I187" s="43">
        <f t="shared" si="76"/>
        <v>18.347010291613</v>
      </c>
      <c r="J187" s="577"/>
      <c r="K187" s="43">
        <f t="shared" si="70"/>
        <v>18.347010291613</v>
      </c>
      <c r="L187" s="578"/>
      <c r="M187" s="579"/>
      <c r="N187" s="579"/>
      <c r="O187" s="580"/>
      <c r="P187" s="581"/>
      <c r="Q187" s="374"/>
    </row>
    <row r="188" spans="1:17" s="93" customFormat="1" ht="15.75">
      <c r="A188" s="573" t="s">
        <v>45</v>
      </c>
      <c r="B188" s="574" t="s">
        <v>523</v>
      </c>
      <c r="C188" s="410">
        <v>960.6891756645816</v>
      </c>
      <c r="D188" s="410">
        <v>16634.883231374104</v>
      </c>
      <c r="E188" s="410">
        <v>11747.595101743058</v>
      </c>
      <c r="F188" s="410">
        <v>21364.917911664907</v>
      </c>
      <c r="G188" s="410">
        <v>13330.553698259106</v>
      </c>
      <c r="H188" s="410">
        <v>14961.007113183881</v>
      </c>
      <c r="I188" s="410">
        <f>SUM(C188:H188)</f>
        <v>78999.64623188964</v>
      </c>
      <c r="J188" s="589"/>
      <c r="K188" s="410">
        <f t="shared" si="70"/>
        <v>78999.64623188964</v>
      </c>
      <c r="L188" s="578"/>
      <c r="M188" s="579"/>
      <c r="N188" s="579"/>
      <c r="O188" s="580"/>
      <c r="P188" s="581"/>
      <c r="Q188" s="374"/>
    </row>
    <row r="189" spans="1:17" s="93" customFormat="1" ht="15">
      <c r="A189" s="576"/>
      <c r="B189" s="582" t="s">
        <v>524</v>
      </c>
      <c r="C189" s="43">
        <f>C188/C$8</f>
        <v>0.0027353688736872364</v>
      </c>
      <c r="D189" s="43">
        <f aca="true" t="shared" si="77" ref="D189:I189">D188/D$8</f>
        <v>0.02200949114053098</v>
      </c>
      <c r="E189" s="43">
        <f t="shared" si="77"/>
        <v>0.019874400392194676</v>
      </c>
      <c r="F189" s="43">
        <f t="shared" si="77"/>
        <v>0.03138391525000746</v>
      </c>
      <c r="G189" s="43">
        <f t="shared" si="77"/>
        <v>0.030787124556181166</v>
      </c>
      <c r="H189" s="43">
        <f t="shared" si="77"/>
        <v>0.009888993220780688</v>
      </c>
      <c r="I189" s="43">
        <f t="shared" si="77"/>
        <v>0.01826685707905391</v>
      </c>
      <c r="J189" s="577"/>
      <c r="K189" s="43">
        <f t="shared" si="70"/>
        <v>0.01826685707905391</v>
      </c>
      <c r="L189" s="578"/>
      <c r="M189" s="579"/>
      <c r="N189" s="579"/>
      <c r="O189" s="580"/>
      <c r="P189" s="581"/>
      <c r="Q189" s="374"/>
    </row>
    <row r="190" spans="1:17" s="93" customFormat="1" ht="15.75">
      <c r="A190" s="573" t="s">
        <v>677</v>
      </c>
      <c r="B190" s="574" t="s">
        <v>678</v>
      </c>
      <c r="C190" s="410">
        <f aca="true" t="shared" si="78" ref="C190:H190">C188-C186</f>
        <v>-27.244760581690457</v>
      </c>
      <c r="D190" s="410">
        <f t="shared" si="78"/>
        <v>345.03758196564013</v>
      </c>
      <c r="E190" s="410">
        <f t="shared" si="78"/>
        <v>-243.0503112763763</v>
      </c>
      <c r="F190" s="410">
        <f t="shared" si="78"/>
        <v>21.040098257300997</v>
      </c>
      <c r="G190" s="410">
        <f t="shared" si="78"/>
        <v>-5.136966746153121</v>
      </c>
      <c r="H190" s="410">
        <f t="shared" si="78"/>
        <v>-33.31465789732647</v>
      </c>
      <c r="I190" s="410">
        <f>SUM(C190:H190)</f>
        <v>57.33098372139477</v>
      </c>
      <c r="J190" s="589"/>
      <c r="K190" s="410">
        <f aca="true" t="shared" si="79" ref="K190:K195">I190</f>
        <v>57.33098372139477</v>
      </c>
      <c r="L190" s="578"/>
      <c r="M190" s="579"/>
      <c r="N190" s="579"/>
      <c r="O190" s="580"/>
      <c r="P190" s="581"/>
      <c r="Q190" s="374"/>
    </row>
    <row r="191" spans="1:27" s="93" customFormat="1" ht="15">
      <c r="A191" s="79" t="s">
        <v>409</v>
      </c>
      <c r="B191" s="60" t="s">
        <v>94</v>
      </c>
      <c r="C191" s="10">
        <f>C190/10</f>
        <v>-2.7244760581690457</v>
      </c>
      <c r="D191" s="10">
        <f aca="true" t="shared" si="80" ref="D191:I191">D190/10</f>
        <v>34.503758196564014</v>
      </c>
      <c r="E191" s="10">
        <f t="shared" si="80"/>
        <v>-24.30503112763763</v>
      </c>
      <c r="F191" s="10">
        <f t="shared" si="80"/>
        <v>2.1040098257301</v>
      </c>
      <c r="G191" s="10">
        <f t="shared" si="80"/>
        <v>-0.5136966746153121</v>
      </c>
      <c r="H191" s="10">
        <f t="shared" si="80"/>
        <v>-3.331465789732647</v>
      </c>
      <c r="I191" s="143">
        <f t="shared" si="80"/>
        <v>5.7330983721394775</v>
      </c>
      <c r="J191" s="16"/>
      <c r="K191" s="284">
        <f t="shared" si="79"/>
        <v>5.7330983721394775</v>
      </c>
      <c r="L191" s="229"/>
      <c r="M191" s="204"/>
      <c r="N191" s="204"/>
      <c r="O191" s="26"/>
      <c r="P191" s="372"/>
      <c r="Q191" s="99"/>
      <c r="R191" s="12"/>
      <c r="S191" s="12"/>
      <c r="T191" s="12"/>
      <c r="U191" s="42"/>
      <c r="X191" s="35"/>
      <c r="Y191" s="35"/>
      <c r="Z191" s="35"/>
      <c r="AA191" s="35"/>
    </row>
    <row r="192" spans="1:27" s="93" customFormat="1" ht="15">
      <c r="A192" s="79" t="s">
        <v>410</v>
      </c>
      <c r="B192" s="60" t="s">
        <v>95</v>
      </c>
      <c r="C192" s="10">
        <f aca="true" t="shared" si="81" ref="C192:I192">C186*0.03</f>
        <v>29.63801808738816</v>
      </c>
      <c r="D192" s="10">
        <f t="shared" si="81"/>
        <v>488.6953694822539</v>
      </c>
      <c r="E192" s="10">
        <f t="shared" si="81"/>
        <v>359.719362390583</v>
      </c>
      <c r="F192" s="10">
        <f t="shared" si="81"/>
        <v>640.3163344022281</v>
      </c>
      <c r="G192" s="10">
        <f t="shared" si="81"/>
        <v>400.07071995015775</v>
      </c>
      <c r="H192" s="10">
        <f t="shared" si="81"/>
        <v>449.8296531324362</v>
      </c>
      <c r="I192" s="10">
        <f t="shared" si="81"/>
        <v>2380.3886725192474</v>
      </c>
      <c r="J192" s="16"/>
      <c r="K192" s="284">
        <f t="shared" si="79"/>
        <v>2380.3886725192474</v>
      </c>
      <c r="L192" s="229"/>
      <c r="M192" s="204"/>
      <c r="N192" s="204"/>
      <c r="O192" s="26"/>
      <c r="P192" s="372"/>
      <c r="Q192" s="99"/>
      <c r="R192" s="12"/>
      <c r="S192" s="12"/>
      <c r="T192" s="12"/>
      <c r="U192" s="42"/>
      <c r="X192" s="35"/>
      <c r="Y192" s="35"/>
      <c r="Z192" s="35"/>
      <c r="AA192" s="35"/>
    </row>
    <row r="193" spans="1:27" s="93" customFormat="1" ht="15">
      <c r="A193" s="79" t="s">
        <v>411</v>
      </c>
      <c r="B193" s="60" t="s">
        <v>96</v>
      </c>
      <c r="C193" s="10">
        <f aca="true" t="shared" si="82" ref="C193:I193">C192+C191</f>
        <v>26.913542029219116</v>
      </c>
      <c r="D193" s="10">
        <f t="shared" si="82"/>
        <v>523.199127678818</v>
      </c>
      <c r="E193" s="10">
        <f t="shared" si="82"/>
        <v>335.4143312629454</v>
      </c>
      <c r="F193" s="10">
        <f t="shared" si="82"/>
        <v>642.4203442279583</v>
      </c>
      <c r="G193" s="10">
        <f t="shared" si="82"/>
        <v>399.55702327554246</v>
      </c>
      <c r="H193" s="10">
        <f t="shared" si="82"/>
        <v>446.49818734270355</v>
      </c>
      <c r="I193" s="143">
        <f t="shared" si="82"/>
        <v>2386.121770891387</v>
      </c>
      <c r="J193" s="16"/>
      <c r="K193" s="284">
        <f t="shared" si="79"/>
        <v>2386.121770891387</v>
      </c>
      <c r="L193" s="229"/>
      <c r="M193" s="204"/>
      <c r="N193" s="204"/>
      <c r="O193" s="26"/>
      <c r="P193" s="372"/>
      <c r="Q193" s="99"/>
      <c r="R193" s="12"/>
      <c r="S193" s="12"/>
      <c r="T193" s="12"/>
      <c r="U193" s="42"/>
      <c r="X193" s="35"/>
      <c r="Y193" s="35"/>
      <c r="Z193" s="35"/>
      <c r="AA193" s="35"/>
    </row>
    <row r="194" spans="1:21" s="41" customFormat="1" ht="15">
      <c r="A194" s="73" t="s">
        <v>247</v>
      </c>
      <c r="B194" s="37" t="s">
        <v>284</v>
      </c>
      <c r="C194" s="61">
        <f aca="true" t="shared" si="83" ref="C194:I194">C186/C8*1000</f>
        <v>2.8129428403291143</v>
      </c>
      <c r="D194" s="61">
        <f t="shared" si="83"/>
        <v>21.552974464231127</v>
      </c>
      <c r="E194" s="61">
        <f t="shared" si="83"/>
        <v>20.28558916401722</v>
      </c>
      <c r="F194" s="61">
        <f t="shared" si="83"/>
        <v>31.35300847735852</v>
      </c>
      <c r="G194" s="61">
        <f t="shared" si="83"/>
        <v>30.798988462109953</v>
      </c>
      <c r="H194" s="61">
        <f t="shared" si="83"/>
        <v>9.911013691970023</v>
      </c>
      <c r="I194" s="61">
        <f t="shared" si="83"/>
        <v>18.347010291613</v>
      </c>
      <c r="J194" s="59"/>
      <c r="K194" s="239">
        <f t="shared" si="79"/>
        <v>18.347010291613</v>
      </c>
      <c r="L194" s="380"/>
      <c r="M194" s="314"/>
      <c r="N194" s="314"/>
      <c r="O194" s="381"/>
      <c r="P194" s="382"/>
      <c r="Q194" s="368"/>
      <c r="R194" s="84"/>
      <c r="S194" s="84"/>
      <c r="T194" s="84"/>
      <c r="U194" s="66"/>
    </row>
    <row r="195" spans="1:21" s="41" customFormat="1" ht="15.75" thickBot="1">
      <c r="A195" s="74" t="s">
        <v>248</v>
      </c>
      <c r="B195" s="67" t="s">
        <v>363</v>
      </c>
      <c r="C195" s="61">
        <f aca="true" t="shared" si="84" ref="C195:I195">C188/C38*1000</f>
        <v>2.6758691447770193</v>
      </c>
      <c r="D195" s="61">
        <f t="shared" si="84"/>
        <v>22.144520550357967</v>
      </c>
      <c r="E195" s="61">
        <f t="shared" si="84"/>
        <v>19.864423682217414</v>
      </c>
      <c r="F195" s="61">
        <f t="shared" si="84"/>
        <v>32.18929771069243</v>
      </c>
      <c r="G195" s="61">
        <f t="shared" si="84"/>
        <v>29.94592905993795</v>
      </c>
      <c r="H195" s="61">
        <f t="shared" si="84"/>
        <v>9.8800310898787</v>
      </c>
      <c r="I195" s="61">
        <f t="shared" si="84"/>
        <v>18.266856445485143</v>
      </c>
      <c r="J195" s="68"/>
      <c r="K195" s="239">
        <f t="shared" si="79"/>
        <v>18.266856445485143</v>
      </c>
      <c r="L195" s="383"/>
      <c r="M195" s="337"/>
      <c r="N195" s="337"/>
      <c r="O195" s="384"/>
      <c r="P195" s="385"/>
      <c r="Q195" s="369"/>
      <c r="R195" s="84"/>
      <c r="S195" s="84"/>
      <c r="T195" s="84"/>
      <c r="U195" s="66"/>
    </row>
    <row r="196" spans="1:27" s="169" customFormat="1" ht="15.75">
      <c r="A196" s="1111" t="s">
        <v>789</v>
      </c>
      <c r="B196" s="1060"/>
      <c r="C196" s="1060"/>
      <c r="D196" s="1060"/>
      <c r="E196" s="1060"/>
      <c r="F196" s="1060"/>
      <c r="G196" s="1060"/>
      <c r="H196" s="1060"/>
      <c r="I196" s="1060"/>
      <c r="J196" s="1060"/>
      <c r="K196" s="1061"/>
      <c r="L196" s="375"/>
      <c r="M196" s="376"/>
      <c r="N196" s="376"/>
      <c r="O196" s="377"/>
      <c r="P196" s="378"/>
      <c r="Q196" s="379"/>
      <c r="R196" s="185"/>
      <c r="S196" s="185"/>
      <c r="T196" s="185"/>
      <c r="U196" s="168"/>
      <c r="X196" s="357"/>
      <c r="Y196" s="357"/>
      <c r="Z196" s="357"/>
      <c r="AA196" s="357"/>
    </row>
    <row r="197" spans="1:17" s="93" customFormat="1" ht="15.75">
      <c r="A197" s="615" t="s">
        <v>249</v>
      </c>
      <c r="B197" s="574" t="s">
        <v>418</v>
      </c>
      <c r="C197" s="410"/>
      <c r="D197" s="410"/>
      <c r="E197" s="410"/>
      <c r="F197" s="410"/>
      <c r="G197" s="410"/>
      <c r="H197" s="410"/>
      <c r="I197" s="410"/>
      <c r="J197" s="589"/>
      <c r="K197" s="593"/>
      <c r="L197" s="578"/>
      <c r="M197" s="579"/>
      <c r="N197" s="579"/>
      <c r="O197" s="580"/>
      <c r="P197" s="581"/>
      <c r="Q197" s="374"/>
    </row>
    <row r="198" spans="1:27" s="93" customFormat="1" ht="15">
      <c r="A198" s="758" t="s">
        <v>250</v>
      </c>
      <c r="B198" s="92" t="s">
        <v>527</v>
      </c>
      <c r="C198" s="4">
        <f>C199*1.06</f>
        <v>6963.384777503379</v>
      </c>
      <c r="D198" s="4">
        <f>D199*1.05</f>
        <v>15006.953918245803</v>
      </c>
      <c r="E198" s="4">
        <f>E199*1.06</f>
        <v>21729.472753632665</v>
      </c>
      <c r="F198" s="4">
        <f>F199*1.03</f>
        <v>37327.72529284665</v>
      </c>
      <c r="G198" s="4">
        <f>G199*0.99</f>
        <v>40915.98029373814</v>
      </c>
      <c r="H198" s="4">
        <f>H199*1.04</f>
        <v>59455.905070227476</v>
      </c>
      <c r="I198" s="132">
        <f>SUM(C198:H198)</f>
        <v>181399.4221061941</v>
      </c>
      <c r="J198" s="43">
        <v>65600</v>
      </c>
      <c r="K198" s="172">
        <f>I198+J198</f>
        <v>246999.4221061941</v>
      </c>
      <c r="L198" s="332"/>
      <c r="M198" s="333"/>
      <c r="N198" s="333"/>
      <c r="O198" s="339"/>
      <c r="P198" s="500"/>
      <c r="Q198" s="507"/>
      <c r="R198" s="12"/>
      <c r="S198" s="12"/>
      <c r="T198" s="12"/>
      <c r="U198" s="42"/>
      <c r="X198" s="35"/>
      <c r="Y198" s="35"/>
      <c r="Z198" s="35"/>
      <c r="AA198" s="35"/>
    </row>
    <row r="199" spans="1:27" s="93" customFormat="1" ht="15">
      <c r="A199" s="758" t="s">
        <v>255</v>
      </c>
      <c r="B199" s="92" t="s">
        <v>526</v>
      </c>
      <c r="C199" s="4">
        <v>6569.230922172999</v>
      </c>
      <c r="D199" s="4">
        <v>14292.337064996002</v>
      </c>
      <c r="E199" s="4">
        <v>20499.502597766663</v>
      </c>
      <c r="F199" s="4">
        <v>36240.509993055</v>
      </c>
      <c r="G199" s="4">
        <v>41329.27302397792</v>
      </c>
      <c r="H199" s="4">
        <v>57169.13949060334</v>
      </c>
      <c r="I199" s="132">
        <f>SUM(C199:H199)</f>
        <v>176099.9930925719</v>
      </c>
      <c r="J199" s="43">
        <v>60500</v>
      </c>
      <c r="K199" s="220">
        <f>I199+J199</f>
        <v>236599.9930925719</v>
      </c>
      <c r="L199" s="326"/>
      <c r="M199" s="316"/>
      <c r="N199" s="316"/>
      <c r="O199" s="89"/>
      <c r="P199" s="501"/>
      <c r="Q199" s="508"/>
      <c r="R199" s="12"/>
      <c r="S199" s="12"/>
      <c r="T199" s="12"/>
      <c r="U199" s="42"/>
      <c r="X199" s="35"/>
      <c r="Y199" s="35"/>
      <c r="Z199" s="35"/>
      <c r="AA199" s="35"/>
    </row>
    <row r="200" spans="1:21" s="41" customFormat="1" ht="15">
      <c r="A200" s="63" t="s">
        <v>276</v>
      </c>
      <c r="B200" s="37" t="s">
        <v>57</v>
      </c>
      <c r="C200" s="44">
        <f aca="true" t="shared" si="85" ref="C200:H200">C199-C198</f>
        <v>-394.1538553303799</v>
      </c>
      <c r="D200" s="44">
        <f t="shared" si="85"/>
        <v>-714.6168532498014</v>
      </c>
      <c r="E200" s="44">
        <f t="shared" si="85"/>
        <v>-1229.9701558660017</v>
      </c>
      <c r="F200" s="44">
        <f t="shared" si="85"/>
        <v>-1087.2152997916492</v>
      </c>
      <c r="G200" s="44">
        <f t="shared" si="85"/>
        <v>413.2927302397802</v>
      </c>
      <c r="H200" s="44">
        <f t="shared" si="85"/>
        <v>-2286.765579624138</v>
      </c>
      <c r="I200" s="249">
        <f>SUM(C200:H200)</f>
        <v>-5299.42901362219</v>
      </c>
      <c r="J200" s="44">
        <f>J199-J198</f>
        <v>-5100</v>
      </c>
      <c r="K200" s="206">
        <f>I200+J200</f>
        <v>-10399.42901362219</v>
      </c>
      <c r="L200" s="334"/>
      <c r="M200" s="335"/>
      <c r="N200" s="335"/>
      <c r="O200" s="187"/>
      <c r="P200" s="502"/>
      <c r="Q200" s="393"/>
      <c r="R200" s="84"/>
      <c r="S200" s="84"/>
      <c r="T200" s="84"/>
      <c r="U200" s="66"/>
    </row>
    <row r="201" spans="1:21" s="41" customFormat="1" ht="15">
      <c r="A201" s="63" t="s">
        <v>417</v>
      </c>
      <c r="B201" s="37" t="s">
        <v>58</v>
      </c>
      <c r="C201" s="293">
        <f aca="true" t="shared" si="86" ref="C201:K201">C200/C198%</f>
        <v>-5.660377358490566</v>
      </c>
      <c r="D201" s="293">
        <f t="shared" si="86"/>
        <v>-4.761904761904771</v>
      </c>
      <c r="E201" s="293">
        <f t="shared" si="86"/>
        <v>-5.6603773584905746</v>
      </c>
      <c r="F201" s="293">
        <f t="shared" si="86"/>
        <v>-2.9126213592232992</v>
      </c>
      <c r="G201" s="293">
        <f t="shared" si="86"/>
        <v>1.0101010101010126</v>
      </c>
      <c r="H201" s="293">
        <f t="shared" si="86"/>
        <v>-3.846153846153853</v>
      </c>
      <c r="I201" s="268">
        <f t="shared" si="86"/>
        <v>-2.921414496304084</v>
      </c>
      <c r="J201" s="293">
        <f t="shared" si="86"/>
        <v>-7.774390243902439</v>
      </c>
      <c r="K201" s="239">
        <f t="shared" si="86"/>
        <v>-4.210304997859912</v>
      </c>
      <c r="L201" s="334"/>
      <c r="M201" s="335"/>
      <c r="N201" s="335"/>
      <c r="O201" s="187"/>
      <c r="P201" s="502"/>
      <c r="Q201" s="393"/>
      <c r="R201" s="84"/>
      <c r="S201" s="84"/>
      <c r="T201" s="84"/>
      <c r="U201" s="66"/>
    </row>
    <row r="202" spans="1:21" s="41" customFormat="1" ht="15">
      <c r="A202" s="63" t="s">
        <v>412</v>
      </c>
      <c r="B202" s="37" t="s">
        <v>259</v>
      </c>
      <c r="C202" s="61">
        <f aca="true" t="shared" si="87" ref="C202:I202">C198/C8*1000</f>
        <v>19.826835212037977</v>
      </c>
      <c r="D202" s="61">
        <f t="shared" si="87"/>
        <v>19.8555898899871</v>
      </c>
      <c r="E202" s="61">
        <f t="shared" si="87"/>
        <v>36.761587207998254</v>
      </c>
      <c r="F202" s="61">
        <f t="shared" si="87"/>
        <v>54.832420695922444</v>
      </c>
      <c r="G202" s="61">
        <f t="shared" si="87"/>
        <v>94.49610347438741</v>
      </c>
      <c r="H202" s="61">
        <f t="shared" si="87"/>
        <v>39.29942935838461</v>
      </c>
      <c r="I202" s="61">
        <f t="shared" si="87"/>
        <v>41.94445767656142</v>
      </c>
      <c r="J202" s="61">
        <f>J198/I8*1000</f>
        <v>15.168496082482692</v>
      </c>
      <c r="K202" s="239">
        <f>K198/K8</f>
        <v>0.05711295375904412</v>
      </c>
      <c r="L202" s="334"/>
      <c r="M202" s="335"/>
      <c r="N202" s="335"/>
      <c r="O202" s="187"/>
      <c r="P202" s="502"/>
      <c r="Q202" s="393"/>
      <c r="R202" s="84"/>
      <c r="S202" s="84"/>
      <c r="T202" s="84"/>
      <c r="U202" s="66"/>
    </row>
    <row r="203" spans="1:27" s="93" customFormat="1" ht="15">
      <c r="A203" s="758" t="s">
        <v>413</v>
      </c>
      <c r="B203" s="92" t="s">
        <v>366</v>
      </c>
      <c r="C203" s="61">
        <f aca="true" t="shared" si="88" ref="C203:I203">C199/C8*1000</f>
        <v>18.70456152079055</v>
      </c>
      <c r="D203" s="61">
        <f t="shared" si="88"/>
        <v>18.910085609511526</v>
      </c>
      <c r="E203" s="61">
        <f t="shared" si="88"/>
        <v>34.680742649054956</v>
      </c>
      <c r="F203" s="61">
        <f t="shared" si="88"/>
        <v>53.23535989895383</v>
      </c>
      <c r="G203" s="61">
        <f t="shared" si="88"/>
        <v>95.45060957008829</v>
      </c>
      <c r="H203" s="61">
        <f t="shared" si="88"/>
        <v>37.787912844600584</v>
      </c>
      <c r="I203" s="61">
        <f t="shared" si="88"/>
        <v>40.719086209602224</v>
      </c>
      <c r="J203" s="293">
        <f>J199/I38*1000</f>
        <v>13.989237517695864</v>
      </c>
      <c r="K203" s="741">
        <f>K199/K38</f>
        <v>0.05470832231499486</v>
      </c>
      <c r="L203" s="326"/>
      <c r="M203" s="316"/>
      <c r="N203" s="316"/>
      <c r="O203" s="89"/>
      <c r="P203" s="501"/>
      <c r="Q203" s="508"/>
      <c r="R203" s="12"/>
      <c r="S203" s="12"/>
      <c r="T203" s="12"/>
      <c r="U203" s="42"/>
      <c r="X203" s="35"/>
      <c r="Y203" s="35"/>
      <c r="Z203" s="35"/>
      <c r="AA203" s="35"/>
    </row>
    <row r="204" spans="1:17" s="93" customFormat="1" ht="15.75">
      <c r="A204" s="615" t="s">
        <v>414</v>
      </c>
      <c r="B204" s="574" t="s">
        <v>790</v>
      </c>
      <c r="C204" s="410">
        <f aca="true" t="shared" si="89" ref="C204:H204">SQRT(C178*C198)</f>
        <v>6759.610402437262</v>
      </c>
      <c r="D204" s="410">
        <f t="shared" si="89"/>
        <v>11165.848734519788</v>
      </c>
      <c r="E204" s="410">
        <f t="shared" si="89"/>
        <v>18859.629383875133</v>
      </c>
      <c r="F204" s="410">
        <f t="shared" si="89"/>
        <v>23653.37023567165</v>
      </c>
      <c r="G204" s="410">
        <f t="shared" si="89"/>
        <v>31827.617571369294</v>
      </c>
      <c r="H204" s="410">
        <f t="shared" si="89"/>
        <v>31354.68577200648</v>
      </c>
      <c r="I204" s="410">
        <f>SUM(C204:H204)</f>
        <v>123620.76209987962</v>
      </c>
      <c r="J204" s="589"/>
      <c r="K204" s="759"/>
      <c r="L204" s="578"/>
      <c r="M204" s="579"/>
      <c r="N204" s="579"/>
      <c r="O204" s="580"/>
      <c r="P204" s="581"/>
      <c r="Q204" s="374"/>
    </row>
    <row r="205" spans="1:17" s="93" customFormat="1" ht="15.75">
      <c r="A205" s="142" t="s">
        <v>419</v>
      </c>
      <c r="B205" s="109" t="s">
        <v>537</v>
      </c>
      <c r="C205" s="44">
        <f aca="true" t="shared" si="90" ref="C205:I205">C204/C$8*1000</f>
        <v>19.246628734302522</v>
      </c>
      <c r="D205" s="44">
        <f t="shared" si="90"/>
        <v>14.773451991260059</v>
      </c>
      <c r="E205" s="44">
        <f t="shared" si="90"/>
        <v>31.906430412120642</v>
      </c>
      <c r="F205" s="44">
        <f t="shared" si="90"/>
        <v>34.7455286241968</v>
      </c>
      <c r="G205" s="44">
        <f t="shared" si="90"/>
        <v>73.50638605688327</v>
      </c>
      <c r="H205" s="44">
        <f t="shared" si="90"/>
        <v>20.72496007075923</v>
      </c>
      <c r="I205" s="44">
        <f t="shared" si="90"/>
        <v>28.58446715892605</v>
      </c>
      <c r="J205" s="589"/>
      <c r="K205" s="759"/>
      <c r="L205" s="578"/>
      <c r="M205" s="579"/>
      <c r="N205" s="579"/>
      <c r="O205" s="580"/>
      <c r="P205" s="581"/>
      <c r="Q205" s="374"/>
    </row>
    <row r="206" spans="1:17" s="93" customFormat="1" ht="15.75">
      <c r="A206" s="615" t="s">
        <v>415</v>
      </c>
      <c r="B206" s="574" t="s">
        <v>791</v>
      </c>
      <c r="C206" s="410">
        <f aca="true" t="shared" si="91" ref="C206:H206">SQRT(C178*C199)</f>
        <v>6565.51401893041</v>
      </c>
      <c r="D206" s="410">
        <f t="shared" si="91"/>
        <v>10896.752594550147</v>
      </c>
      <c r="E206" s="410">
        <f t="shared" si="91"/>
        <v>18318.09138985556</v>
      </c>
      <c r="F206" s="410">
        <f t="shared" si="91"/>
        <v>23306.358220467126</v>
      </c>
      <c r="G206" s="410">
        <f t="shared" si="91"/>
        <v>31987.959228834705</v>
      </c>
      <c r="H206" s="410">
        <f t="shared" si="91"/>
        <v>30745.798960390595</v>
      </c>
      <c r="I206" s="410">
        <f>SUM(C206:H206)</f>
        <v>121820.47441302854</v>
      </c>
      <c r="J206" s="589"/>
      <c r="K206" s="759"/>
      <c r="L206" s="578"/>
      <c r="M206" s="579"/>
      <c r="N206" s="579"/>
      <c r="O206" s="580"/>
      <c r="P206" s="581"/>
      <c r="Q206" s="374"/>
    </row>
    <row r="207" spans="1:17" s="93" customFormat="1" ht="16.5" thickBot="1">
      <c r="A207" s="760" t="s">
        <v>535</v>
      </c>
      <c r="B207" s="761" t="s">
        <v>536</v>
      </c>
      <c r="C207" s="762">
        <f aca="true" t="shared" si="92" ref="C207:I207">C206/C$8*1000</f>
        <v>18.693978387667126</v>
      </c>
      <c r="D207" s="762">
        <f t="shared" si="92"/>
        <v>14.417412875972342</v>
      </c>
      <c r="E207" s="762">
        <f t="shared" si="92"/>
        <v>30.99026477757864</v>
      </c>
      <c r="F207" s="762">
        <f t="shared" si="92"/>
        <v>34.235786638716625</v>
      </c>
      <c r="G207" s="762">
        <f t="shared" si="92"/>
        <v>73.87669765021018</v>
      </c>
      <c r="H207" s="762">
        <f t="shared" si="92"/>
        <v>20.322495349852428</v>
      </c>
      <c r="I207" s="762">
        <f t="shared" si="92"/>
        <v>28.16819190396656</v>
      </c>
      <c r="J207" s="763"/>
      <c r="K207" s="764"/>
      <c r="L207" s="578"/>
      <c r="M207" s="579"/>
      <c r="N207" s="579"/>
      <c r="O207" s="580"/>
      <c r="P207" s="581"/>
      <c r="Q207" s="374"/>
    </row>
    <row r="208" spans="1:27" s="169" customFormat="1" ht="15.75">
      <c r="A208" s="1124" t="s">
        <v>246</v>
      </c>
      <c r="B208" s="1125"/>
      <c r="C208" s="1125"/>
      <c r="D208" s="1125"/>
      <c r="E208" s="1125"/>
      <c r="F208" s="1125"/>
      <c r="G208" s="1125"/>
      <c r="H208" s="1125"/>
      <c r="I208" s="1125"/>
      <c r="J208" s="1125"/>
      <c r="K208" s="1126"/>
      <c r="L208" s="331"/>
      <c r="M208" s="307"/>
      <c r="N208" s="307"/>
      <c r="O208" s="308"/>
      <c r="P208" s="386"/>
      <c r="Q208" s="387"/>
      <c r="R208" s="185"/>
      <c r="S208" s="185"/>
      <c r="T208" s="185"/>
      <c r="U208" s="168"/>
      <c r="X208" s="357"/>
      <c r="Y208" s="357"/>
      <c r="Z208" s="357"/>
      <c r="AA208" s="357"/>
    </row>
    <row r="209" spans="1:21" s="613" customFormat="1" ht="15.75">
      <c r="A209" s="601" t="s">
        <v>534</v>
      </c>
      <c r="B209" s="602" t="s">
        <v>271</v>
      </c>
      <c r="C209" s="603">
        <v>48752.431826727276</v>
      </c>
      <c r="D209" s="603">
        <v>104915.35194823636</v>
      </c>
      <c r="E209" s="603">
        <v>82051.06482654547</v>
      </c>
      <c r="F209" s="603">
        <v>94498.1688757091</v>
      </c>
      <c r="G209" s="603">
        <v>60104.68796896364</v>
      </c>
      <c r="H209" s="603">
        <v>210009.06298161822</v>
      </c>
      <c r="I209" s="604"/>
      <c r="J209" s="603">
        <f aca="true" t="shared" si="93" ref="J209:J214">SUM(C209:H209)</f>
        <v>600330.7684278002</v>
      </c>
      <c r="K209" s="605">
        <f aca="true" t="shared" si="94" ref="K209:K215">J209</f>
        <v>600330.7684278002</v>
      </c>
      <c r="L209" s="606"/>
      <c r="M209" s="607"/>
      <c r="N209" s="607"/>
      <c r="O209" s="608"/>
      <c r="P209" s="609"/>
      <c r="Q209" s="610"/>
      <c r="R209" s="611"/>
      <c r="S209" s="611"/>
      <c r="T209" s="611"/>
      <c r="U209" s="612"/>
    </row>
    <row r="210" spans="1:27" s="169" customFormat="1" ht="15.75">
      <c r="A210" s="413" t="s">
        <v>266</v>
      </c>
      <c r="B210" s="574" t="s">
        <v>294</v>
      </c>
      <c r="C210" s="410">
        <f aca="true" t="shared" si="95" ref="C210:H210">SUM(C211:C214)</f>
        <v>8495.466298834</v>
      </c>
      <c r="D210" s="410">
        <f t="shared" si="95"/>
        <v>14459.615309860003</v>
      </c>
      <c r="E210" s="410">
        <f t="shared" si="95"/>
        <v>14152.16468252</v>
      </c>
      <c r="F210" s="410">
        <f t="shared" si="95"/>
        <v>12829.18340247</v>
      </c>
      <c r="G210" s="410">
        <f t="shared" si="95"/>
        <v>11793.60162189</v>
      </c>
      <c r="H210" s="410">
        <f t="shared" si="95"/>
        <v>23797.858034226003</v>
      </c>
      <c r="I210" s="592"/>
      <c r="J210" s="410">
        <f t="shared" si="93"/>
        <v>85527.88934980001</v>
      </c>
      <c r="K210" s="593">
        <f t="shared" si="94"/>
        <v>85527.88934980001</v>
      </c>
      <c r="L210" s="594"/>
      <c r="M210" s="595"/>
      <c r="N210" s="595"/>
      <c r="O210" s="596"/>
      <c r="P210" s="597"/>
      <c r="Q210" s="598"/>
      <c r="R210" s="167"/>
      <c r="S210" s="167"/>
      <c r="T210" s="167"/>
      <c r="U210" s="168"/>
      <c r="X210" s="357"/>
      <c r="Y210" s="357"/>
      <c r="Z210" s="357"/>
      <c r="AA210" s="357"/>
    </row>
    <row r="211" spans="1:21" s="41" customFormat="1" ht="15">
      <c r="A211" s="113" t="s">
        <v>420</v>
      </c>
      <c r="B211" s="60" t="s">
        <v>254</v>
      </c>
      <c r="C211" s="38">
        <v>3395.71747869</v>
      </c>
      <c r="D211" s="38">
        <v>4527.623304920001</v>
      </c>
      <c r="E211" s="38">
        <v>3395.71747869</v>
      </c>
      <c r="F211" s="38">
        <v>3395.71747869</v>
      </c>
      <c r="G211" s="38">
        <v>2263.8116524600005</v>
      </c>
      <c r="H211" s="38">
        <v>5659.5291311500005</v>
      </c>
      <c r="I211" s="269"/>
      <c r="J211" s="38">
        <f t="shared" si="93"/>
        <v>22638.116524600002</v>
      </c>
      <c r="K211" s="172">
        <f t="shared" si="94"/>
        <v>22638.116524600002</v>
      </c>
      <c r="L211" s="334"/>
      <c r="M211" s="335"/>
      <c r="N211" s="335"/>
      <c r="O211" s="389"/>
      <c r="P211" s="390"/>
      <c r="Q211" s="368"/>
      <c r="R211" s="84"/>
      <c r="S211" s="84"/>
      <c r="T211" s="84"/>
      <c r="U211" s="66"/>
    </row>
    <row r="212" spans="1:21" s="41" customFormat="1" ht="15">
      <c r="A212" s="113" t="s">
        <v>421</v>
      </c>
      <c r="B212" s="60" t="s">
        <v>253</v>
      </c>
      <c r="C212" s="38">
        <v>2943.9773625600005</v>
      </c>
      <c r="D212" s="38">
        <v>4906.628937600001</v>
      </c>
      <c r="E212" s="38">
        <v>3679.9717032000003</v>
      </c>
      <c r="F212" s="38">
        <v>3679.9717032000003</v>
      </c>
      <c r="G212" s="38">
        <v>2453.3144688000007</v>
      </c>
      <c r="H212" s="38">
        <v>6869.280512640002</v>
      </c>
      <c r="I212" s="269"/>
      <c r="J212" s="38">
        <f t="shared" si="93"/>
        <v>24533.144688000004</v>
      </c>
      <c r="K212" s="172">
        <f t="shared" si="94"/>
        <v>24533.144688000004</v>
      </c>
      <c r="L212" s="334"/>
      <c r="M212" s="335"/>
      <c r="N212" s="335"/>
      <c r="O212" s="389"/>
      <c r="P212" s="390"/>
      <c r="Q212" s="368"/>
      <c r="R212" s="84"/>
      <c r="S212" s="84"/>
      <c r="T212" s="84"/>
      <c r="U212" s="66"/>
    </row>
    <row r="213" spans="1:21" s="41" customFormat="1" ht="15">
      <c r="A213" s="113" t="s">
        <v>422</v>
      </c>
      <c r="B213" s="60" t="s">
        <v>252</v>
      </c>
      <c r="C213" s="38">
        <v>832.790177534</v>
      </c>
      <c r="D213" s="38">
        <v>2379.40050724</v>
      </c>
      <c r="E213" s="38">
        <v>1784.55038043</v>
      </c>
      <c r="F213" s="38">
        <v>1784.55038043</v>
      </c>
      <c r="G213" s="38">
        <v>1784.55038043</v>
      </c>
      <c r="H213" s="38">
        <v>3331.160710135999</v>
      </c>
      <c r="I213" s="269"/>
      <c r="J213" s="38">
        <f t="shared" si="93"/>
        <v>11897.002536199998</v>
      </c>
      <c r="K213" s="172">
        <f t="shared" si="94"/>
        <v>11897.002536199998</v>
      </c>
      <c r="L213" s="334"/>
      <c r="M213" s="335"/>
      <c r="N213" s="335"/>
      <c r="O213" s="389"/>
      <c r="P213" s="390"/>
      <c r="Q213" s="368"/>
      <c r="R213" s="84"/>
      <c r="S213" s="84"/>
      <c r="T213" s="84"/>
      <c r="U213" s="66"/>
    </row>
    <row r="214" spans="1:21" s="41" customFormat="1" ht="15">
      <c r="A214" s="113" t="s">
        <v>423</v>
      </c>
      <c r="B214" s="60" t="s">
        <v>251</v>
      </c>
      <c r="C214" s="38">
        <v>1322.9812800500001</v>
      </c>
      <c r="D214" s="38">
        <v>2645.9625601000002</v>
      </c>
      <c r="E214" s="38">
        <v>5291.9251202000005</v>
      </c>
      <c r="F214" s="38">
        <v>3968.9438401499997</v>
      </c>
      <c r="G214" s="38">
        <v>5291.9251202000005</v>
      </c>
      <c r="H214" s="38">
        <v>7937.887680300001</v>
      </c>
      <c r="I214" s="269"/>
      <c r="J214" s="38">
        <f t="shared" si="93"/>
        <v>26459.625601000003</v>
      </c>
      <c r="K214" s="172">
        <f t="shared" si="94"/>
        <v>26459.625601000003</v>
      </c>
      <c r="L214" s="334"/>
      <c r="M214" s="335"/>
      <c r="N214" s="335"/>
      <c r="O214" s="389"/>
      <c r="P214" s="390"/>
      <c r="Q214" s="368"/>
      <c r="R214" s="84"/>
      <c r="S214" s="84"/>
      <c r="T214" s="84"/>
      <c r="U214" s="66"/>
    </row>
    <row r="215" spans="1:27" s="169" customFormat="1" ht="15.75">
      <c r="A215" s="413" t="s">
        <v>272</v>
      </c>
      <c r="B215" s="574" t="s">
        <v>427</v>
      </c>
      <c r="C215" s="599">
        <f aca="true" t="shared" si="96" ref="C215:H215">(C216+C217+C218)/3</f>
        <v>0.6999999999999998</v>
      </c>
      <c r="D215" s="599">
        <f t="shared" si="96"/>
        <v>0.6333333333333333</v>
      </c>
      <c r="E215" s="599">
        <f t="shared" si="96"/>
        <v>0.7666666666666666</v>
      </c>
      <c r="F215" s="599">
        <f t="shared" si="96"/>
        <v>0.7666666666666666</v>
      </c>
      <c r="G215" s="599">
        <f t="shared" si="96"/>
        <v>0.9166666666666666</v>
      </c>
      <c r="H215" s="599">
        <f t="shared" si="96"/>
        <v>0.6999999999999998</v>
      </c>
      <c r="I215" s="592"/>
      <c r="J215" s="599">
        <f>J223/J210</f>
        <v>0.7396369250099597</v>
      </c>
      <c r="K215" s="614">
        <f t="shared" si="94"/>
        <v>0.7396369250099597</v>
      </c>
      <c r="L215" s="594"/>
      <c r="M215" s="595"/>
      <c r="N215" s="595"/>
      <c r="O215" s="596"/>
      <c r="P215" s="597"/>
      <c r="Q215" s="598"/>
      <c r="R215" s="167"/>
      <c r="S215" s="167"/>
      <c r="T215" s="167"/>
      <c r="U215" s="168"/>
      <c r="X215" s="357"/>
      <c r="Y215" s="357"/>
      <c r="Z215" s="357"/>
      <c r="AA215" s="357"/>
    </row>
    <row r="216" spans="1:21" s="41" customFormat="1" ht="15">
      <c r="A216" s="142" t="s">
        <v>424</v>
      </c>
      <c r="B216" s="109" t="s">
        <v>256</v>
      </c>
      <c r="C216" s="62">
        <v>0.7</v>
      </c>
      <c r="D216" s="234">
        <v>0.6</v>
      </c>
      <c r="E216" s="234">
        <v>0.65</v>
      </c>
      <c r="F216" s="234">
        <v>0.8</v>
      </c>
      <c r="G216" s="62">
        <v>1</v>
      </c>
      <c r="H216" s="62">
        <v>0.8</v>
      </c>
      <c r="I216" s="282"/>
      <c r="J216" s="234">
        <f>K216</f>
        <v>0.7506352435974685</v>
      </c>
      <c r="K216" s="283">
        <v>0.7506352435974685</v>
      </c>
      <c r="L216" s="392"/>
      <c r="M216" s="305"/>
      <c r="N216" s="305"/>
      <c r="O216" s="313"/>
      <c r="P216" s="393"/>
      <c r="Q216" s="368"/>
      <c r="R216" s="66"/>
      <c r="S216" s="66"/>
      <c r="T216" s="66"/>
      <c r="U216" s="66"/>
    </row>
    <row r="217" spans="1:21" s="41" customFormat="1" ht="15">
      <c r="A217" s="142" t="s">
        <v>425</v>
      </c>
      <c r="B217" s="60" t="s">
        <v>257</v>
      </c>
      <c r="C217" s="62">
        <v>0.6</v>
      </c>
      <c r="D217" s="62">
        <v>0.6</v>
      </c>
      <c r="E217" s="62">
        <v>0.75</v>
      </c>
      <c r="F217" s="62">
        <v>0.6</v>
      </c>
      <c r="G217" s="62">
        <v>0.8</v>
      </c>
      <c r="H217" s="62">
        <v>0.6</v>
      </c>
      <c r="I217" s="282"/>
      <c r="J217" s="234">
        <f>K217</f>
        <v>0.6516503763098902</v>
      </c>
      <c r="K217" s="283">
        <v>0.6516503763098902</v>
      </c>
      <c r="L217" s="334"/>
      <c r="M217" s="335"/>
      <c r="N217" s="335"/>
      <c r="O217" s="389"/>
      <c r="P217" s="390"/>
      <c r="Q217" s="368"/>
      <c r="R217" s="84"/>
      <c r="S217" s="84"/>
      <c r="T217" s="84"/>
      <c r="U217" s="66"/>
    </row>
    <row r="218" spans="1:21" s="41" customFormat="1" ht="15">
      <c r="A218" s="142" t="s">
        <v>426</v>
      </c>
      <c r="B218" s="60" t="s">
        <v>269</v>
      </c>
      <c r="C218" s="62">
        <v>0.8</v>
      </c>
      <c r="D218" s="62">
        <v>0.7</v>
      </c>
      <c r="E218" s="62">
        <v>0.9</v>
      </c>
      <c r="F218" s="62">
        <v>0.9</v>
      </c>
      <c r="G218" s="62">
        <v>0.95</v>
      </c>
      <c r="H218" s="62">
        <v>0.7</v>
      </c>
      <c r="I218" s="282"/>
      <c r="J218" s="234">
        <f>K218</f>
        <v>0.8166251551225208</v>
      </c>
      <c r="K218" s="283">
        <v>0.8166251551225208</v>
      </c>
      <c r="L218" s="334"/>
      <c r="M218" s="335"/>
      <c r="N218" s="335"/>
      <c r="O218" s="389"/>
      <c r="P218" s="390"/>
      <c r="Q218" s="368"/>
      <c r="R218" s="84"/>
      <c r="S218" s="84"/>
      <c r="T218" s="84"/>
      <c r="U218" s="66"/>
    </row>
    <row r="219" spans="1:27" s="169" customFormat="1" ht="15.75">
      <c r="A219" s="413" t="s">
        <v>416</v>
      </c>
      <c r="B219" s="574" t="s">
        <v>428</v>
      </c>
      <c r="C219" s="599">
        <f aca="true" t="shared" si="97" ref="C219:H219">(C220+C221+C222)/3</f>
        <v>0.6733333333333333</v>
      </c>
      <c r="D219" s="599">
        <f t="shared" si="97"/>
        <v>0.5766666666666667</v>
      </c>
      <c r="E219" s="599">
        <f t="shared" si="97"/>
        <v>0.7033333333333333</v>
      </c>
      <c r="F219" s="599">
        <f t="shared" si="97"/>
        <v>0.7366666666666667</v>
      </c>
      <c r="G219" s="599">
        <f t="shared" si="97"/>
        <v>0.8516666666666666</v>
      </c>
      <c r="H219" s="599">
        <f t="shared" si="97"/>
        <v>0.6433333333333334</v>
      </c>
      <c r="I219" s="592"/>
      <c r="J219" s="410">
        <f>J224/J210</f>
        <v>0.6876979298826268</v>
      </c>
      <c r="K219" s="593">
        <f>J219</f>
        <v>0.6876979298826268</v>
      </c>
      <c r="L219" s="594"/>
      <c r="M219" s="595"/>
      <c r="N219" s="595"/>
      <c r="O219" s="596"/>
      <c r="P219" s="597"/>
      <c r="Q219" s="598"/>
      <c r="R219" s="167"/>
      <c r="S219" s="167"/>
      <c r="T219" s="167"/>
      <c r="U219" s="168"/>
      <c r="X219" s="357"/>
      <c r="Y219" s="357"/>
      <c r="Z219" s="357"/>
      <c r="AA219" s="357"/>
    </row>
    <row r="220" spans="1:21" s="41" customFormat="1" ht="15">
      <c r="A220" s="77" t="s">
        <v>429</v>
      </c>
      <c r="B220" s="109" t="s">
        <v>256</v>
      </c>
      <c r="C220" s="62">
        <v>0.7</v>
      </c>
      <c r="D220" s="62">
        <v>0.55</v>
      </c>
      <c r="E220" s="62">
        <v>0.6</v>
      </c>
      <c r="F220" s="62">
        <v>0.8</v>
      </c>
      <c r="G220" s="62">
        <v>1</v>
      </c>
      <c r="H220" s="62">
        <v>0.75</v>
      </c>
      <c r="I220" s="282"/>
      <c r="J220" s="234">
        <f>K220</f>
        <v>0.7230276921107667</v>
      </c>
      <c r="K220" s="283">
        <v>0.7230276921107667</v>
      </c>
      <c r="L220" s="334"/>
      <c r="M220" s="335"/>
      <c r="N220" s="335"/>
      <c r="O220" s="389"/>
      <c r="P220" s="390"/>
      <c r="Q220" s="368"/>
      <c r="R220" s="84"/>
      <c r="S220" s="84"/>
      <c r="T220" s="84"/>
      <c r="U220" s="66"/>
    </row>
    <row r="221" spans="1:21" s="41" customFormat="1" ht="15">
      <c r="A221" s="77" t="s">
        <v>430</v>
      </c>
      <c r="B221" s="60" t="s">
        <v>257</v>
      </c>
      <c r="C221" s="62">
        <v>0.6</v>
      </c>
      <c r="D221" s="62">
        <v>0.55</v>
      </c>
      <c r="E221" s="62">
        <v>0.7</v>
      </c>
      <c r="F221" s="62">
        <v>0.6</v>
      </c>
      <c r="G221" s="62">
        <v>0.7</v>
      </c>
      <c r="H221" s="62">
        <v>0.55</v>
      </c>
      <c r="I221" s="282"/>
      <c r="J221" s="234">
        <f>K221</f>
        <v>0.6080005592749627</v>
      </c>
      <c r="K221" s="283">
        <v>0.6080005592749627</v>
      </c>
      <c r="L221" s="334"/>
      <c r="M221" s="335"/>
      <c r="N221" s="335"/>
      <c r="O221" s="389"/>
      <c r="P221" s="390"/>
      <c r="Q221" s="368"/>
      <c r="R221" s="84"/>
      <c r="S221" s="84"/>
      <c r="T221" s="84"/>
      <c r="U221" s="66"/>
    </row>
    <row r="222" spans="1:21" s="41" customFormat="1" ht="15">
      <c r="A222" s="77" t="s">
        <v>431</v>
      </c>
      <c r="B222" s="60" t="s">
        <v>269</v>
      </c>
      <c r="C222" s="62">
        <f aca="true" t="shared" si="98" ref="C222:H222">C218*0.9</f>
        <v>0.7200000000000001</v>
      </c>
      <c r="D222" s="62">
        <f t="shared" si="98"/>
        <v>0.63</v>
      </c>
      <c r="E222" s="62">
        <f t="shared" si="98"/>
        <v>0.81</v>
      </c>
      <c r="F222" s="62">
        <f t="shared" si="98"/>
        <v>0.81</v>
      </c>
      <c r="G222" s="62">
        <f t="shared" si="98"/>
        <v>0.855</v>
      </c>
      <c r="H222" s="62">
        <f t="shared" si="98"/>
        <v>0.63</v>
      </c>
      <c r="I222" s="282"/>
      <c r="J222" s="234">
        <f>K222</f>
        <v>0.7320655382621511</v>
      </c>
      <c r="K222" s="283">
        <v>0.7320655382621511</v>
      </c>
      <c r="L222" s="334"/>
      <c r="M222" s="335"/>
      <c r="N222" s="335"/>
      <c r="O222" s="389"/>
      <c r="P222" s="390"/>
      <c r="Q222" s="368"/>
      <c r="R222" s="84"/>
      <c r="S222" s="84"/>
      <c r="T222" s="84"/>
      <c r="U222" s="66"/>
    </row>
    <row r="223" spans="1:27" s="169" customFormat="1" ht="15.75">
      <c r="A223" s="413" t="s">
        <v>432</v>
      </c>
      <c r="B223" s="574" t="s">
        <v>270</v>
      </c>
      <c r="C223" s="410">
        <f aca="true" t="shared" si="99" ref="C223:H223">C210*C215</f>
        <v>5946.826409183799</v>
      </c>
      <c r="D223" s="410">
        <f t="shared" si="99"/>
        <v>9157.756362911334</v>
      </c>
      <c r="E223" s="410">
        <f t="shared" si="99"/>
        <v>10849.992923265332</v>
      </c>
      <c r="F223" s="410">
        <f t="shared" si="99"/>
        <v>9835.707275227</v>
      </c>
      <c r="G223" s="410">
        <f t="shared" si="99"/>
        <v>10810.8014867325</v>
      </c>
      <c r="H223" s="410">
        <f t="shared" si="99"/>
        <v>16658.5006239582</v>
      </c>
      <c r="I223" s="592"/>
      <c r="J223" s="410">
        <f>SUM(C223:H223)</f>
        <v>63259.58508127816</v>
      </c>
      <c r="K223" s="593">
        <f>J223</f>
        <v>63259.58508127816</v>
      </c>
      <c r="L223" s="594"/>
      <c r="M223" s="595"/>
      <c r="N223" s="595"/>
      <c r="O223" s="596"/>
      <c r="P223" s="597"/>
      <c r="Q223" s="598"/>
      <c r="R223" s="167"/>
      <c r="S223" s="167"/>
      <c r="T223" s="167"/>
      <c r="U223" s="168"/>
      <c r="X223" s="357"/>
      <c r="Y223" s="357"/>
      <c r="Z223" s="357"/>
      <c r="AA223" s="357"/>
    </row>
    <row r="224" spans="1:27" s="169" customFormat="1" ht="15.75">
      <c r="A224" s="413" t="s">
        <v>433</v>
      </c>
      <c r="B224" s="574" t="s">
        <v>364</v>
      </c>
      <c r="C224" s="410">
        <f aca="true" t="shared" si="100" ref="C224:H224">C210*C219</f>
        <v>5720.280641214894</v>
      </c>
      <c r="D224" s="410">
        <f t="shared" si="100"/>
        <v>8338.378162019268</v>
      </c>
      <c r="E224" s="410">
        <f t="shared" si="100"/>
        <v>9953.689160039066</v>
      </c>
      <c r="F224" s="410">
        <f t="shared" si="100"/>
        <v>9450.8317731529</v>
      </c>
      <c r="G224" s="410">
        <f t="shared" si="100"/>
        <v>10044.217381309649</v>
      </c>
      <c r="H224" s="410">
        <f t="shared" si="100"/>
        <v>15309.955335352064</v>
      </c>
      <c r="I224" s="592"/>
      <c r="J224" s="410">
        <f>SUM(C224:H224)</f>
        <v>58817.352453087835</v>
      </c>
      <c r="K224" s="593">
        <f>J224</f>
        <v>58817.352453087835</v>
      </c>
      <c r="L224" s="594"/>
      <c r="M224" s="595"/>
      <c r="N224" s="595"/>
      <c r="O224" s="596"/>
      <c r="P224" s="597"/>
      <c r="Q224" s="598"/>
      <c r="R224" s="167"/>
      <c r="S224" s="167"/>
      <c r="T224" s="167"/>
      <c r="U224" s="168"/>
      <c r="X224" s="357"/>
      <c r="Y224" s="357"/>
      <c r="Z224" s="357"/>
      <c r="AA224" s="357"/>
    </row>
    <row r="225" spans="1:21" s="35" customFormat="1" ht="15">
      <c r="A225" s="71" t="s">
        <v>434</v>
      </c>
      <c r="B225" s="34" t="s">
        <v>258</v>
      </c>
      <c r="C225" s="10">
        <f aca="true" t="shared" si="101" ref="C225:H225">C224-C223</f>
        <v>-226.54576796890524</v>
      </c>
      <c r="D225" s="10">
        <f t="shared" si="101"/>
        <v>-819.3782008920662</v>
      </c>
      <c r="E225" s="10">
        <f t="shared" si="101"/>
        <v>-896.3037632262658</v>
      </c>
      <c r="F225" s="10">
        <f t="shared" si="101"/>
        <v>-384.87550207409913</v>
      </c>
      <c r="G225" s="10">
        <f t="shared" si="101"/>
        <v>-766.5841054228513</v>
      </c>
      <c r="H225" s="10">
        <f t="shared" si="101"/>
        <v>-1348.5452886061357</v>
      </c>
      <c r="I225" s="87"/>
      <c r="J225" s="51">
        <f>SUM(C225:H225)</f>
        <v>-4442.232628190323</v>
      </c>
      <c r="K225" s="172">
        <f>J225</f>
        <v>-4442.232628190323</v>
      </c>
      <c r="L225" s="326"/>
      <c r="M225" s="316"/>
      <c r="N225" s="316"/>
      <c r="O225" s="302"/>
      <c r="P225" s="388"/>
      <c r="Q225" s="373"/>
      <c r="R225" s="81"/>
      <c r="S225" s="81"/>
      <c r="T225" s="81"/>
      <c r="U225" s="82"/>
    </row>
    <row r="226" spans="1:21" s="41" customFormat="1" ht="15">
      <c r="A226" s="73" t="s">
        <v>435</v>
      </c>
      <c r="B226" s="235" t="s">
        <v>283</v>
      </c>
      <c r="C226" s="61">
        <f aca="true" t="shared" si="102" ref="C226:H226">C223*1000/C8</f>
        <v>16.932390068462723</v>
      </c>
      <c r="D226" s="61">
        <f t="shared" si="102"/>
        <v>12.116559805871795</v>
      </c>
      <c r="E226" s="61">
        <f t="shared" si="102"/>
        <v>18.355850856441133</v>
      </c>
      <c r="F226" s="61">
        <f t="shared" si="102"/>
        <v>14.44812495071979</v>
      </c>
      <c r="G226" s="61">
        <f t="shared" si="102"/>
        <v>24.967716979951717</v>
      </c>
      <c r="H226" s="61">
        <f t="shared" si="102"/>
        <v>11.011010053830244</v>
      </c>
      <c r="I226" s="277"/>
      <c r="J226" s="61">
        <f>K226</f>
        <v>14.627328787878785</v>
      </c>
      <c r="K226" s="239">
        <f>K223/K8*1000</f>
        <v>14.627328787878785</v>
      </c>
      <c r="L226" s="334"/>
      <c r="M226" s="335"/>
      <c r="N226" s="335"/>
      <c r="O226" s="389"/>
      <c r="P226" s="390"/>
      <c r="Q226" s="368"/>
      <c r="R226" s="84"/>
      <c r="S226" s="84"/>
      <c r="T226" s="84"/>
      <c r="U226" s="66"/>
    </row>
    <row r="227" spans="1:21" s="41" customFormat="1" ht="15.75" thickBot="1">
      <c r="A227" s="74" t="s">
        <v>436</v>
      </c>
      <c r="B227" s="237" t="s">
        <v>365</v>
      </c>
      <c r="C227" s="179">
        <f aca="true" t="shared" si="103" ref="C227:H227">C224*1000/C8</f>
        <v>16.287346637283196</v>
      </c>
      <c r="D227" s="179">
        <f t="shared" si="103"/>
        <v>11.032446560083267</v>
      </c>
      <c r="E227" s="179">
        <f t="shared" si="103"/>
        <v>16.839497959604696</v>
      </c>
      <c r="F227" s="179">
        <f t="shared" si="103"/>
        <v>13.882763539604671</v>
      </c>
      <c r="G227" s="179">
        <f t="shared" si="103"/>
        <v>23.197278866827865</v>
      </c>
      <c r="H227" s="179">
        <f t="shared" si="103"/>
        <v>10.119642573282084</v>
      </c>
      <c r="I227" s="278"/>
      <c r="J227" s="179">
        <f>K227</f>
        <v>13.600164333333332</v>
      </c>
      <c r="K227" s="263">
        <f>K224/K8*1000</f>
        <v>13.600164333333332</v>
      </c>
      <c r="L227" s="394"/>
      <c r="M227" s="395"/>
      <c r="N227" s="395"/>
      <c r="O227" s="396"/>
      <c r="P227" s="397"/>
      <c r="Q227" s="369"/>
      <c r="R227" s="84"/>
      <c r="S227" s="84"/>
      <c r="T227" s="84"/>
      <c r="U227" s="66"/>
    </row>
    <row r="228" spans="1:21" s="41" customFormat="1" ht="15.75" thickBot="1">
      <c r="A228" s="221"/>
      <c r="B228" s="222"/>
      <c r="C228" s="223"/>
      <c r="D228" s="223"/>
      <c r="E228" s="223"/>
      <c r="F228" s="223"/>
      <c r="G228" s="223"/>
      <c r="H228" s="223"/>
      <c r="I228" s="279"/>
      <c r="J228" s="224"/>
      <c r="K228" s="225"/>
      <c r="L228" s="226"/>
      <c r="M228" s="226"/>
      <c r="N228" s="226"/>
      <c r="O228" s="230"/>
      <c r="P228" s="231"/>
      <c r="Q228" s="227"/>
      <c r="R228" s="84"/>
      <c r="S228" s="84"/>
      <c r="T228" s="84"/>
      <c r="U228" s="66"/>
    </row>
    <row r="229" spans="1:46" s="50" customFormat="1" ht="18.75" customHeight="1">
      <c r="A229" s="1036" t="s">
        <v>454</v>
      </c>
      <c r="B229" s="1037"/>
      <c r="C229" s="1101" t="s">
        <v>35</v>
      </c>
      <c r="D229" s="1102"/>
      <c r="E229" s="1102"/>
      <c r="F229" s="1102"/>
      <c r="G229" s="1102"/>
      <c r="H229" s="1102"/>
      <c r="I229" s="1102"/>
      <c r="J229" s="1103"/>
      <c r="K229" s="1048" t="s">
        <v>295</v>
      </c>
      <c r="L229" s="1098" t="s">
        <v>0</v>
      </c>
      <c r="M229" s="1097"/>
      <c r="N229" s="1097"/>
      <c r="O229" s="1100"/>
      <c r="P229" s="499" t="s">
        <v>2</v>
      </c>
      <c r="Q229" s="1053" t="s">
        <v>329</v>
      </c>
      <c r="R229" s="57"/>
      <c r="S229" s="57"/>
      <c r="T229" s="57"/>
      <c r="U229" s="96"/>
      <c r="V229" s="96"/>
      <c r="W229" s="96"/>
      <c r="X229" s="358"/>
      <c r="Y229" s="358"/>
      <c r="Z229" s="358"/>
      <c r="AA229" s="358"/>
      <c r="AB229" s="96"/>
      <c r="AC229" s="96"/>
      <c r="AD229" s="96"/>
      <c r="AE229" s="96"/>
      <c r="AF229" s="96"/>
      <c r="AG229" s="96"/>
      <c r="AH229" s="96"/>
      <c r="AI229" s="96"/>
      <c r="AJ229" s="96"/>
      <c r="AK229" s="96"/>
      <c r="AL229" s="96"/>
      <c r="AM229" s="96"/>
      <c r="AN229" s="96"/>
      <c r="AO229" s="96"/>
      <c r="AP229" s="96"/>
      <c r="AQ229" s="96"/>
      <c r="AR229" s="96"/>
      <c r="AS229" s="96"/>
      <c r="AT229" s="96"/>
    </row>
    <row r="230" spans="1:46" s="32" customFormat="1" ht="60.75" thickBot="1">
      <c r="A230" s="1040"/>
      <c r="B230" s="1041"/>
      <c r="C230" s="238" t="s">
        <v>149</v>
      </c>
      <c r="D230" s="238" t="s">
        <v>150</v>
      </c>
      <c r="E230" s="238" t="s">
        <v>153</v>
      </c>
      <c r="F230" s="238" t="s">
        <v>151</v>
      </c>
      <c r="G230" s="238" t="s">
        <v>152</v>
      </c>
      <c r="H230" s="238" t="s">
        <v>32</v>
      </c>
      <c r="I230" s="153" t="s">
        <v>1</v>
      </c>
      <c r="J230" s="238" t="s">
        <v>245</v>
      </c>
      <c r="K230" s="1049"/>
      <c r="L230" s="353" t="s">
        <v>293</v>
      </c>
      <c r="M230" s="152" t="s">
        <v>291</v>
      </c>
      <c r="N230" s="512" t="s">
        <v>297</v>
      </c>
      <c r="O230" s="371" t="s">
        <v>495</v>
      </c>
      <c r="P230" s="371" t="s">
        <v>495</v>
      </c>
      <c r="Q230" s="1107"/>
      <c r="R230" s="57"/>
      <c r="S230" s="57"/>
      <c r="T230" s="57"/>
      <c r="U230" s="85"/>
      <c r="V230" s="85"/>
      <c r="W230" s="85"/>
      <c r="X230" s="81"/>
      <c r="Y230" s="81"/>
      <c r="Z230" s="81"/>
      <c r="AA230" s="81"/>
      <c r="AB230" s="85"/>
      <c r="AC230" s="85"/>
      <c r="AD230" s="85"/>
      <c r="AE230" s="85"/>
      <c r="AF230" s="85"/>
      <c r="AG230" s="85"/>
      <c r="AH230" s="85"/>
      <c r="AI230" s="85"/>
      <c r="AJ230" s="85"/>
      <c r="AK230" s="85"/>
      <c r="AL230" s="85"/>
      <c r="AM230" s="85"/>
      <c r="AN230" s="85"/>
      <c r="AO230" s="85"/>
      <c r="AP230" s="85"/>
      <c r="AQ230" s="85"/>
      <c r="AR230" s="85"/>
      <c r="AS230" s="85"/>
      <c r="AT230" s="85"/>
    </row>
    <row r="231" spans="1:27" s="169" customFormat="1" ht="15.75">
      <c r="A231" s="1111" t="s">
        <v>267</v>
      </c>
      <c r="B231" s="1060"/>
      <c r="C231" s="1060"/>
      <c r="D231" s="1060"/>
      <c r="E231" s="1060"/>
      <c r="F231" s="1060"/>
      <c r="G231" s="1060"/>
      <c r="H231" s="1060"/>
      <c r="I231" s="1060"/>
      <c r="J231" s="1060"/>
      <c r="K231" s="1061"/>
      <c r="L231" s="331"/>
      <c r="M231" s="307"/>
      <c r="N231" s="307"/>
      <c r="O231" s="338"/>
      <c r="P231" s="336"/>
      <c r="Q231" s="506"/>
      <c r="R231" s="185"/>
      <c r="S231" s="185"/>
      <c r="T231" s="185"/>
      <c r="U231" s="168"/>
      <c r="X231" s="357"/>
      <c r="Y231" s="357"/>
      <c r="Z231" s="357"/>
      <c r="AA231" s="357"/>
    </row>
    <row r="232" spans="1:20" ht="15">
      <c r="A232" s="55" t="s">
        <v>273</v>
      </c>
      <c r="B232" s="19" t="s">
        <v>437</v>
      </c>
      <c r="C232" s="4">
        <f aca="true" t="shared" si="104" ref="C232:H232">SQRT(C186*C198)</f>
        <v>2622.8541958782776</v>
      </c>
      <c r="D232" s="4">
        <f t="shared" si="104"/>
        <v>15635.247455541268</v>
      </c>
      <c r="E232" s="4">
        <f t="shared" si="104"/>
        <v>16141.573739901456</v>
      </c>
      <c r="F232" s="4">
        <f t="shared" si="104"/>
        <v>28226.200730933724</v>
      </c>
      <c r="G232" s="4">
        <f t="shared" si="104"/>
        <v>23358.999474565317</v>
      </c>
      <c r="H232" s="4">
        <f t="shared" si="104"/>
        <v>29858.01352759171</v>
      </c>
      <c r="I232" s="132">
        <f>SUM(C232:H232)</f>
        <v>115842.88912441177</v>
      </c>
      <c r="J232" s="4">
        <f>SQRT(J223*J198)</f>
        <v>64419.16470532544</v>
      </c>
      <c r="K232" s="172">
        <f>I232+J232</f>
        <v>180262.0538297372</v>
      </c>
      <c r="L232" s="326"/>
      <c r="M232" s="316"/>
      <c r="N232" s="316"/>
      <c r="O232" s="89"/>
      <c r="P232" s="501"/>
      <c r="Q232" s="508"/>
      <c r="R232" s="12"/>
      <c r="S232" s="12"/>
      <c r="T232" s="12"/>
    </row>
    <row r="233" spans="1:20" ht="15">
      <c r="A233" s="55" t="s">
        <v>274</v>
      </c>
      <c r="B233" s="19" t="s">
        <v>438</v>
      </c>
      <c r="C233" s="4">
        <f aca="true" t="shared" si="105" ref="C233:H233">SQRT(C188*C199)</f>
        <v>2512.1681948811984</v>
      </c>
      <c r="D233" s="4">
        <f t="shared" si="105"/>
        <v>15419.187987039026</v>
      </c>
      <c r="E233" s="4">
        <f t="shared" si="105"/>
        <v>15518.371573902099</v>
      </c>
      <c r="F233" s="4">
        <f t="shared" si="105"/>
        <v>27825.80674622915</v>
      </c>
      <c r="G233" s="4">
        <f t="shared" si="105"/>
        <v>23472.15570321885</v>
      </c>
      <c r="H233" s="4">
        <f t="shared" si="105"/>
        <v>29245.6475834186</v>
      </c>
      <c r="I233" s="132">
        <f>SUM(C233:H233)</f>
        <v>113993.33778868892</v>
      </c>
      <c r="J233" s="4">
        <f>SQRT(J224*J199)</f>
        <v>59652.74363691761</v>
      </c>
      <c r="K233" s="220">
        <f>I233+J233</f>
        <v>173646.08142560654</v>
      </c>
      <c r="L233" s="326"/>
      <c r="M233" s="316"/>
      <c r="N233" s="316"/>
      <c r="O233" s="89"/>
      <c r="P233" s="501"/>
      <c r="Q233" s="508"/>
      <c r="R233" s="12"/>
      <c r="S233" s="12"/>
      <c r="T233" s="12"/>
    </row>
    <row r="234" spans="1:21" s="41" customFormat="1" ht="15">
      <c r="A234" s="63" t="s">
        <v>439</v>
      </c>
      <c r="B234" s="64" t="s">
        <v>286</v>
      </c>
      <c r="C234" s="43">
        <f aca="true" t="shared" si="106" ref="C234:J234">C233-C232</f>
        <v>-110.68600099707919</v>
      </c>
      <c r="D234" s="43">
        <f t="shared" si="106"/>
        <v>-216.05946850224245</v>
      </c>
      <c r="E234" s="43">
        <f t="shared" si="106"/>
        <v>-623.202165999357</v>
      </c>
      <c r="F234" s="43">
        <f t="shared" si="106"/>
        <v>-400.3939847045731</v>
      </c>
      <c r="G234" s="43">
        <f t="shared" si="106"/>
        <v>113.15622865353362</v>
      </c>
      <c r="H234" s="43">
        <f t="shared" si="106"/>
        <v>-612.3659441731106</v>
      </c>
      <c r="I234" s="289">
        <f t="shared" si="106"/>
        <v>-1849.5513357228483</v>
      </c>
      <c r="J234" s="43">
        <f t="shared" si="106"/>
        <v>-4766.421068407835</v>
      </c>
      <c r="K234" s="220">
        <f>I234+J234</f>
        <v>-6615.972404130684</v>
      </c>
      <c r="L234" s="334"/>
      <c r="M234" s="335"/>
      <c r="N234" s="335"/>
      <c r="O234" s="187"/>
      <c r="P234" s="502"/>
      <c r="Q234" s="393"/>
      <c r="R234" s="84"/>
      <c r="S234" s="84"/>
      <c r="T234" s="84"/>
      <c r="U234" s="66"/>
    </row>
    <row r="235" spans="1:21" s="41" customFormat="1" ht="15">
      <c r="A235" s="63" t="s">
        <v>440</v>
      </c>
      <c r="B235" s="64" t="s">
        <v>287</v>
      </c>
      <c r="C235" s="58">
        <f aca="true" t="shared" si="107" ref="C235:K235">C234/C232%</f>
        <v>-4.220059245802467</v>
      </c>
      <c r="D235" s="58">
        <f t="shared" si="107"/>
        <v>-1.3818743138962544</v>
      </c>
      <c r="E235" s="58">
        <f t="shared" si="107"/>
        <v>-3.860851339784925</v>
      </c>
      <c r="F235" s="58">
        <f t="shared" si="107"/>
        <v>-1.418518873727743</v>
      </c>
      <c r="G235" s="58">
        <f t="shared" si="107"/>
        <v>0.48442241191342517</v>
      </c>
      <c r="H235" s="58">
        <f t="shared" si="107"/>
        <v>-2.0509266083868067</v>
      </c>
      <c r="I235" s="285">
        <f t="shared" si="107"/>
        <v>-1.5966032526489269</v>
      </c>
      <c r="J235" s="58">
        <f t="shared" si="107"/>
        <v>-7.399073071206404</v>
      </c>
      <c r="K235" s="194">
        <f t="shared" si="107"/>
        <v>-3.670196951367071</v>
      </c>
      <c r="L235" s="334"/>
      <c r="M235" s="335"/>
      <c r="N235" s="335"/>
      <c r="O235" s="187"/>
      <c r="P235" s="502"/>
      <c r="Q235" s="393"/>
      <c r="R235" s="84"/>
      <c r="S235" s="84"/>
      <c r="T235" s="84"/>
      <c r="U235" s="66"/>
    </row>
    <row r="236" spans="1:21" s="66" customFormat="1" ht="15">
      <c r="A236" s="63" t="s">
        <v>275</v>
      </c>
      <c r="B236" s="64" t="s">
        <v>288</v>
      </c>
      <c r="C236" s="293">
        <f aca="true" t="shared" si="108" ref="C236:I236">C232/C8*1000</f>
        <v>7.46804888549127</v>
      </c>
      <c r="D236" s="293">
        <f t="shared" si="108"/>
        <v>20.68688042869533</v>
      </c>
      <c r="E236" s="293">
        <f t="shared" si="108"/>
        <v>27.308065752056542</v>
      </c>
      <c r="F236" s="293">
        <f t="shared" si="108"/>
        <v>41.46277066132153</v>
      </c>
      <c r="G236" s="293">
        <f t="shared" si="108"/>
        <v>53.94797865186429</v>
      </c>
      <c r="H236" s="293">
        <f t="shared" si="108"/>
        <v>19.73568297418558</v>
      </c>
      <c r="I236" s="742">
        <f t="shared" si="108"/>
        <v>26.786012345535315</v>
      </c>
      <c r="J236" s="61">
        <f>J232/J8</f>
        <v>0.7532026693947577</v>
      </c>
      <c r="K236" s="239">
        <f>K232/I8</f>
        <v>0.04168146733744898</v>
      </c>
      <c r="L236" s="233">
        <v>100</v>
      </c>
      <c r="M236" s="119">
        <f>L236</f>
        <v>100</v>
      </c>
      <c r="N236" s="330">
        <f aca="true" t="shared" si="109" ref="N236:N244">(L236+M236)/2</f>
        <v>100</v>
      </c>
      <c r="O236" s="54"/>
      <c r="P236" s="503"/>
      <c r="Q236" s="393"/>
      <c r="R236" s="84"/>
      <c r="S236" s="84"/>
      <c r="T236" s="84"/>
      <c r="U236" s="65"/>
    </row>
    <row r="237" spans="1:21" s="66" customFormat="1" ht="15.75" thickBot="1">
      <c r="A237" s="63" t="s">
        <v>144</v>
      </c>
      <c r="B237" s="64" t="s">
        <v>367</v>
      </c>
      <c r="C237" s="293">
        <f aca="true" t="shared" si="110" ref="C237:I237">C233/C38*1000</f>
        <v>6.9973031126560805</v>
      </c>
      <c r="D237" s="293">
        <f t="shared" si="110"/>
        <v>20.52617505633151</v>
      </c>
      <c r="E237" s="293">
        <f t="shared" si="110"/>
        <v>26.24056286689108</v>
      </c>
      <c r="F237" s="293">
        <f t="shared" si="110"/>
        <v>41.92354873994295</v>
      </c>
      <c r="G237" s="293">
        <f t="shared" si="110"/>
        <v>52.728155595232614</v>
      </c>
      <c r="H237" s="293">
        <f t="shared" si="110"/>
        <v>19.313399504581884</v>
      </c>
      <c r="I237" s="742">
        <f t="shared" si="110"/>
        <v>26.3583450869571</v>
      </c>
      <c r="J237" s="61">
        <f>J233/J38</f>
        <v>0.6974726535119624</v>
      </c>
      <c r="K237" s="239">
        <f>K233/I38</f>
        <v>0.04015167400132175</v>
      </c>
      <c r="L237" s="725">
        <v>100</v>
      </c>
      <c r="M237" s="726">
        <f aca="true" t="shared" si="111" ref="M237:M244">L237</f>
        <v>100</v>
      </c>
      <c r="N237" s="727">
        <f t="shared" si="109"/>
        <v>100</v>
      </c>
      <c r="O237" s="728"/>
      <c r="P237" s="729"/>
      <c r="Q237" s="730"/>
      <c r="R237" s="84"/>
      <c r="S237" s="84"/>
      <c r="T237" s="84"/>
      <c r="U237" s="65"/>
    </row>
    <row r="238" spans="1:27" s="169" customFormat="1" ht="15.75">
      <c r="A238" s="1059" t="s">
        <v>278</v>
      </c>
      <c r="B238" s="1060"/>
      <c r="C238" s="1060"/>
      <c r="D238" s="1060"/>
      <c r="E238" s="1060"/>
      <c r="F238" s="1060"/>
      <c r="G238" s="1060"/>
      <c r="H238" s="1060"/>
      <c r="I238" s="1060"/>
      <c r="J238" s="1060"/>
      <c r="K238" s="1061"/>
      <c r="L238" s="733"/>
      <c r="M238" s="734"/>
      <c r="N238" s="735">
        <f t="shared" si="109"/>
        <v>0</v>
      </c>
      <c r="O238" s="736"/>
      <c r="P238" s="737"/>
      <c r="Q238" s="738"/>
      <c r="R238" s="185"/>
      <c r="S238" s="185"/>
      <c r="T238" s="185"/>
      <c r="U238" s="168"/>
      <c r="X238" s="357"/>
      <c r="Y238" s="357"/>
      <c r="Z238" s="357"/>
      <c r="AA238" s="357"/>
    </row>
    <row r="239" spans="1:27" s="169" customFormat="1" ht="15.75">
      <c r="A239" s="413" t="s">
        <v>144</v>
      </c>
      <c r="B239" s="574" t="s">
        <v>279</v>
      </c>
      <c r="C239" s="410">
        <v>24</v>
      </c>
      <c r="D239" s="410">
        <v>38</v>
      </c>
      <c r="E239" s="410">
        <v>55.00000000000001</v>
      </c>
      <c r="F239" s="410">
        <v>51</v>
      </c>
      <c r="G239" s="410">
        <v>76</v>
      </c>
      <c r="H239" s="410">
        <v>40</v>
      </c>
      <c r="I239" s="410">
        <v>45.737</v>
      </c>
      <c r="J239" s="410">
        <v>47</v>
      </c>
      <c r="K239" s="593">
        <f>(I239+J239)/2</f>
        <v>46.3685</v>
      </c>
      <c r="L239" s="414">
        <v>35</v>
      </c>
      <c r="M239" s="433">
        <f t="shared" si="111"/>
        <v>35</v>
      </c>
      <c r="N239" s="433">
        <f t="shared" si="109"/>
        <v>35</v>
      </c>
      <c r="O239" s="596"/>
      <c r="P239" s="597"/>
      <c r="Q239" s="598"/>
      <c r="R239" s="167"/>
      <c r="S239" s="167"/>
      <c r="T239" s="167"/>
      <c r="U239" s="168"/>
      <c r="X239" s="357"/>
      <c r="Y239" s="357"/>
      <c r="Z239" s="357"/>
      <c r="AA239" s="357"/>
    </row>
    <row r="240" spans="1:27" s="169" customFormat="1" ht="15.75">
      <c r="A240" s="413" t="s">
        <v>145</v>
      </c>
      <c r="B240" s="574" t="s">
        <v>368</v>
      </c>
      <c r="C240" s="410">
        <v>23</v>
      </c>
      <c r="D240" s="410">
        <v>32</v>
      </c>
      <c r="E240" s="410">
        <v>53</v>
      </c>
      <c r="F240" s="410">
        <v>50</v>
      </c>
      <c r="G240" s="410">
        <v>73</v>
      </c>
      <c r="H240" s="410">
        <v>35</v>
      </c>
      <c r="I240" s="410">
        <v>42.158</v>
      </c>
      <c r="J240" s="410">
        <v>43</v>
      </c>
      <c r="K240" s="593">
        <f>(I240+J240)/2</f>
        <v>42.579</v>
      </c>
      <c r="L240" s="414">
        <v>25</v>
      </c>
      <c r="M240" s="433">
        <f t="shared" si="111"/>
        <v>25</v>
      </c>
      <c r="N240" s="433">
        <f t="shared" si="109"/>
        <v>25</v>
      </c>
      <c r="O240" s="596"/>
      <c r="P240" s="597"/>
      <c r="Q240" s="598"/>
      <c r="R240" s="167"/>
      <c r="S240" s="167"/>
      <c r="T240" s="167"/>
      <c r="U240" s="168"/>
      <c r="X240" s="357"/>
      <c r="Y240" s="357"/>
      <c r="Z240" s="357"/>
      <c r="AA240" s="357"/>
    </row>
    <row r="241" spans="1:21" s="66" customFormat="1" ht="15.75" thickBot="1">
      <c r="A241" s="63" t="s">
        <v>285</v>
      </c>
      <c r="B241" s="64" t="s">
        <v>268</v>
      </c>
      <c r="C241" s="64">
        <f>C240-C239</f>
        <v>-1</v>
      </c>
      <c r="D241" s="64">
        <f aca="true" t="shared" si="112" ref="D241:L241">D240-D239</f>
        <v>-6</v>
      </c>
      <c r="E241" s="64">
        <f t="shared" si="112"/>
        <v>-2.000000000000007</v>
      </c>
      <c r="F241" s="64">
        <f t="shared" si="112"/>
        <v>-1</v>
      </c>
      <c r="G241" s="64">
        <f t="shared" si="112"/>
        <v>-3</v>
      </c>
      <c r="H241" s="64">
        <f t="shared" si="112"/>
        <v>-5</v>
      </c>
      <c r="I241" s="742">
        <f t="shared" si="112"/>
        <v>-3.5790000000000006</v>
      </c>
      <c r="J241" s="64">
        <f t="shared" si="112"/>
        <v>-4</v>
      </c>
      <c r="K241" s="742">
        <f t="shared" si="112"/>
        <v>-3.7894999999999968</v>
      </c>
      <c r="L241" s="743">
        <f t="shared" si="112"/>
        <v>-10</v>
      </c>
      <c r="M241" s="343">
        <f t="shared" si="111"/>
        <v>-10</v>
      </c>
      <c r="N241" s="744">
        <f t="shared" si="109"/>
        <v>-10</v>
      </c>
      <c r="O241" s="745"/>
      <c r="P241" s="746"/>
      <c r="Q241" s="510"/>
      <c r="R241" s="84"/>
      <c r="S241" s="84"/>
      <c r="T241" s="84"/>
      <c r="U241" s="65"/>
    </row>
    <row r="242" spans="1:27" s="169" customFormat="1" ht="15.75">
      <c r="A242" s="1111" t="s">
        <v>277</v>
      </c>
      <c r="B242" s="1060"/>
      <c r="C242" s="1060"/>
      <c r="D242" s="1060"/>
      <c r="E242" s="1060"/>
      <c r="F242" s="1060"/>
      <c r="G242" s="1060"/>
      <c r="H242" s="1060"/>
      <c r="I242" s="1060"/>
      <c r="J242" s="1060"/>
      <c r="K242" s="1061"/>
      <c r="L242" s="228"/>
      <c r="M242" s="731">
        <f t="shared" si="111"/>
        <v>0</v>
      </c>
      <c r="N242" s="732">
        <f t="shared" si="109"/>
        <v>0</v>
      </c>
      <c r="O242" s="338"/>
      <c r="P242" s="336"/>
      <c r="Q242" s="506"/>
      <c r="R242" s="185"/>
      <c r="S242" s="185"/>
      <c r="T242" s="185"/>
      <c r="U242" s="168"/>
      <c r="X242" s="357"/>
      <c r="Y242" s="357"/>
      <c r="Z242" s="357"/>
      <c r="AA242" s="357"/>
    </row>
    <row r="243" spans="1:21" s="41" customFormat="1" ht="15">
      <c r="A243" s="73" t="s">
        <v>146</v>
      </c>
      <c r="B243" s="37" t="s">
        <v>441</v>
      </c>
      <c r="C243" s="61">
        <f aca="true" t="shared" si="113" ref="C243:I244">SQRT(C236*C239)</f>
        <v>13.387799417820334</v>
      </c>
      <c r="D243" s="61">
        <f t="shared" si="113"/>
        <v>28.0375008923838</v>
      </c>
      <c r="E243" s="61">
        <f t="shared" si="113"/>
        <v>38.75491731849147</v>
      </c>
      <c r="F243" s="61">
        <f t="shared" si="113"/>
        <v>45.98479426644636</v>
      </c>
      <c r="G243" s="61">
        <f t="shared" si="113"/>
        <v>64.03160452106198</v>
      </c>
      <c r="H243" s="61">
        <f t="shared" si="113"/>
        <v>28.096749259788456</v>
      </c>
      <c r="I243" s="268">
        <f t="shared" si="113"/>
        <v>35.00159777278387</v>
      </c>
      <c r="J243" s="61">
        <f>SQRT(J236*J239)</f>
        <v>5.949834070085788</v>
      </c>
      <c r="K243" s="239">
        <f>(I243+J243)/2</f>
        <v>20.475715921434826</v>
      </c>
      <c r="L243" s="341">
        <f>SQRT(L236*L239)</f>
        <v>59.16079783099616</v>
      </c>
      <c r="M243" s="317">
        <f t="shared" si="111"/>
        <v>59.16079783099616</v>
      </c>
      <c r="N243" s="330">
        <f t="shared" si="109"/>
        <v>59.16079783099616</v>
      </c>
      <c r="O243" s="342"/>
      <c r="P243" s="504"/>
      <c r="Q243" s="393"/>
      <c r="R243" s="84"/>
      <c r="S243" s="84"/>
      <c r="T243" s="84"/>
      <c r="U243" s="66"/>
    </row>
    <row r="244" spans="1:21" s="41" customFormat="1" ht="15.75" thickBot="1">
      <c r="A244" s="74" t="s">
        <v>147</v>
      </c>
      <c r="B244" s="67" t="s">
        <v>442</v>
      </c>
      <c r="C244" s="179">
        <f t="shared" si="113"/>
        <v>12.686133043251985</v>
      </c>
      <c r="D244" s="179">
        <f t="shared" si="113"/>
        <v>25.628843161613993</v>
      </c>
      <c r="E244" s="179">
        <f t="shared" si="113"/>
        <v>37.292758438405</v>
      </c>
      <c r="F244" s="179">
        <f t="shared" si="113"/>
        <v>45.7840303708307</v>
      </c>
      <c r="G244" s="179">
        <f t="shared" si="113"/>
        <v>62.0415615410507</v>
      </c>
      <c r="H244" s="179">
        <f t="shared" si="113"/>
        <v>25.999403505856936</v>
      </c>
      <c r="I244" s="275">
        <f t="shared" si="113"/>
        <v>33.33489331280269</v>
      </c>
      <c r="J244" s="179">
        <f>SQRT(J237*J240)</f>
        <v>5.476433520185777</v>
      </c>
      <c r="K244" s="263">
        <f>(I244+J244)/2</f>
        <v>19.405663416494235</v>
      </c>
      <c r="L244" s="329">
        <f>SQRT(L237*L240)</f>
        <v>50</v>
      </c>
      <c r="M244" s="343">
        <f t="shared" si="111"/>
        <v>50</v>
      </c>
      <c r="N244" s="344">
        <f t="shared" si="109"/>
        <v>50</v>
      </c>
      <c r="O244" s="345"/>
      <c r="P244" s="505"/>
      <c r="Q244" s="510"/>
      <c r="R244" s="84"/>
      <c r="S244" s="84"/>
      <c r="T244" s="84"/>
      <c r="U244" s="66"/>
    </row>
    <row r="245" spans="1:19" ht="15.75" thickBot="1">
      <c r="A245" s="76"/>
      <c r="B245" s="5"/>
      <c r="C245" s="5"/>
      <c r="D245" s="5"/>
      <c r="E245" s="5"/>
      <c r="F245" s="5"/>
      <c r="G245" s="5"/>
      <c r="H245" s="5"/>
      <c r="I245" s="134"/>
      <c r="J245" s="5"/>
      <c r="K245" s="134"/>
      <c r="L245" s="5"/>
      <c r="M245" s="5"/>
      <c r="N245" s="5"/>
      <c r="O245" s="5"/>
      <c r="P245" s="5"/>
      <c r="Q245" s="3"/>
      <c r="R245" s="49"/>
      <c r="S245" s="49"/>
    </row>
    <row r="246" spans="1:18" ht="15" customHeight="1">
      <c r="A246" s="1036" t="s">
        <v>799</v>
      </c>
      <c r="B246" s="1037"/>
      <c r="C246" s="1045" t="s">
        <v>35</v>
      </c>
      <c r="D246" s="1046"/>
      <c r="E246" s="1046"/>
      <c r="F246" s="1046"/>
      <c r="G246" s="1046"/>
      <c r="H246" s="1046"/>
      <c r="I246" s="1046"/>
      <c r="J246" s="1047"/>
      <c r="K246" s="1042" t="s">
        <v>354</v>
      </c>
      <c r="L246" s="1055" t="s">
        <v>0</v>
      </c>
      <c r="M246" s="1046"/>
      <c r="N246" s="1046"/>
      <c r="O246" s="1046"/>
      <c r="P246" s="652" t="s">
        <v>2</v>
      </c>
      <c r="Q246" s="1119" t="s">
        <v>329</v>
      </c>
      <c r="R246" s="57"/>
    </row>
    <row r="247" spans="1:18" ht="70.5" customHeight="1">
      <c r="A247" s="1038"/>
      <c r="B247" s="1039"/>
      <c r="C247" s="286" t="s">
        <v>149</v>
      </c>
      <c r="D247" s="286" t="s">
        <v>150</v>
      </c>
      <c r="E247" s="286" t="s">
        <v>153</v>
      </c>
      <c r="F247" s="286" t="s">
        <v>151</v>
      </c>
      <c r="G247" s="286" t="s">
        <v>152</v>
      </c>
      <c r="H247" s="286" t="s">
        <v>32</v>
      </c>
      <c r="I247" s="1109" t="s">
        <v>1</v>
      </c>
      <c r="J247" s="1115" t="s">
        <v>528</v>
      </c>
      <c r="K247" s="1043"/>
      <c r="L247" s="323" t="s">
        <v>293</v>
      </c>
      <c r="M247" s="140" t="s">
        <v>291</v>
      </c>
      <c r="N247" s="1117" t="s">
        <v>297</v>
      </c>
      <c r="O247" s="651" t="s">
        <v>298</v>
      </c>
      <c r="P247" s="400" t="s">
        <v>326</v>
      </c>
      <c r="Q247" s="1120"/>
      <c r="R247" s="57"/>
    </row>
    <row r="248" spans="1:28" s="35" customFormat="1" ht="15.75" thickBot="1">
      <c r="A248" s="1040"/>
      <c r="B248" s="1041"/>
      <c r="C248" s="1112" t="s">
        <v>530</v>
      </c>
      <c r="D248" s="1113"/>
      <c r="E248" s="1113"/>
      <c r="F248" s="1113"/>
      <c r="G248" s="1113"/>
      <c r="H248" s="1114"/>
      <c r="I248" s="1110"/>
      <c r="J248" s="1116"/>
      <c r="K248" s="1044"/>
      <c r="L248" s="1122" t="s">
        <v>529</v>
      </c>
      <c r="M248" s="1123"/>
      <c r="N248" s="1118"/>
      <c r="O248" s="641" t="s">
        <v>531</v>
      </c>
      <c r="P248" s="653" t="s">
        <v>531</v>
      </c>
      <c r="Q248" s="1121"/>
      <c r="R248" s="81"/>
      <c r="S248" s="82"/>
      <c r="T248" s="12"/>
      <c r="U248" s="12"/>
      <c r="V248" s="12"/>
      <c r="W248" s="12"/>
      <c r="X248" s="81"/>
      <c r="Y248" s="81"/>
      <c r="Z248" s="81"/>
      <c r="AA248" s="81"/>
      <c r="AB248" s="12"/>
    </row>
    <row r="249" spans="1:28" s="169" customFormat="1" ht="16.5" thickBot="1">
      <c r="A249" s="1108" t="s">
        <v>693</v>
      </c>
      <c r="B249" s="1063"/>
      <c r="C249" s="1063"/>
      <c r="D249" s="1063"/>
      <c r="E249" s="1063"/>
      <c r="F249" s="1063"/>
      <c r="G249" s="1063"/>
      <c r="H249" s="1063"/>
      <c r="I249" s="1063"/>
      <c r="J249" s="1063"/>
      <c r="K249" s="1063"/>
      <c r="L249" s="1063"/>
      <c r="M249" s="1063"/>
      <c r="N249" s="1063"/>
      <c r="O249" s="1063"/>
      <c r="P249" s="1063"/>
      <c r="Q249" s="1064"/>
      <c r="R249" s="185"/>
      <c r="S249" s="185"/>
      <c r="T249" s="12"/>
      <c r="U249" s="12"/>
      <c r="V249" s="12"/>
      <c r="W249" s="5"/>
      <c r="X249" s="448"/>
      <c r="Y249" s="448"/>
      <c r="Z249" s="448"/>
      <c r="AA249" s="448"/>
      <c r="AB249" s="5"/>
    </row>
    <row r="250" spans="1:28" s="169" customFormat="1" ht="15.75">
      <c r="A250" s="659" t="s">
        <v>443</v>
      </c>
      <c r="B250" s="660" t="s">
        <v>694</v>
      </c>
      <c r="C250" s="661">
        <f aca="true" t="shared" si="114" ref="C250:H251">C97*1000</f>
        <v>66172.5</v>
      </c>
      <c r="D250" s="661">
        <f t="shared" si="114"/>
        <v>250580</v>
      </c>
      <c r="E250" s="661">
        <f t="shared" si="114"/>
        <v>272849.99999999994</v>
      </c>
      <c r="F250" s="661">
        <f t="shared" si="114"/>
        <v>350450</v>
      </c>
      <c r="G250" s="661">
        <f t="shared" si="114"/>
        <v>82810</v>
      </c>
      <c r="H250" s="661">
        <f t="shared" si="114"/>
        <v>249900</v>
      </c>
      <c r="I250" s="661">
        <f>SUM(C250:H250)</f>
        <v>1272762.5</v>
      </c>
      <c r="J250" s="661">
        <f>J223</f>
        <v>63259.58508127816</v>
      </c>
      <c r="K250" s="662">
        <f>I250+J250</f>
        <v>1336022.085081278</v>
      </c>
      <c r="L250" s="663">
        <f>L97*1000</f>
        <v>12031.200000000003</v>
      </c>
      <c r="M250" s="664">
        <f>M97*1000</f>
        <v>2406.2400000000007</v>
      </c>
      <c r="N250" s="664">
        <f>L250+M250</f>
        <v>14437.440000000002</v>
      </c>
      <c r="O250" s="308"/>
      <c r="P250" s="672">
        <f>(137170719)/10</f>
        <v>13717071.9</v>
      </c>
      <c r="Q250" s="680">
        <f>K250+N250+P250</f>
        <v>15067531.42508128</v>
      </c>
      <c r="R250" s="167"/>
      <c r="S250" s="167"/>
      <c r="T250" s="644" t="s">
        <v>321</v>
      </c>
      <c r="U250" s="645"/>
      <c r="V250" s="646"/>
      <c r="W250" s="646" t="s">
        <v>311</v>
      </c>
      <c r="X250" s="647"/>
      <c r="Y250" s="647"/>
      <c r="Z250" s="647"/>
      <c r="AA250" s="647"/>
      <c r="AB250" s="648"/>
    </row>
    <row r="251" spans="1:28" s="169" customFormat="1" ht="15.75">
      <c r="A251" s="413" t="s">
        <v>444</v>
      </c>
      <c r="B251" s="574" t="s">
        <v>695</v>
      </c>
      <c r="C251" s="410">
        <f t="shared" si="114"/>
        <v>58387.49999999999</v>
      </c>
      <c r="D251" s="410">
        <f t="shared" si="114"/>
        <v>239190</v>
      </c>
      <c r="E251" s="410">
        <f t="shared" si="114"/>
        <v>256800</v>
      </c>
      <c r="F251" s="410">
        <f t="shared" si="114"/>
        <v>370825</v>
      </c>
      <c r="G251" s="410">
        <f t="shared" si="114"/>
        <v>80990</v>
      </c>
      <c r="H251" s="410">
        <f t="shared" si="114"/>
        <v>208739.99999999997</v>
      </c>
      <c r="I251" s="410">
        <f>SUM(C251:H251)</f>
        <v>1214932.5</v>
      </c>
      <c r="J251" s="410">
        <f>J224</f>
        <v>58817.352453087835</v>
      </c>
      <c r="K251" s="593">
        <f>I251+J251</f>
        <v>1273749.852453088</v>
      </c>
      <c r="L251" s="414">
        <f>L98*1000</f>
        <v>4989.5999999999985</v>
      </c>
      <c r="M251" s="433">
        <f>M98*1000</f>
        <v>997.92</v>
      </c>
      <c r="N251" s="433">
        <f>L251+M251</f>
        <v>5987.519999999999</v>
      </c>
      <c r="O251" s="596"/>
      <c r="P251" s="672">
        <f>P250*(0.912)</f>
        <v>12509969.572800001</v>
      </c>
      <c r="Q251" s="431">
        <f>K251+N251+P251</f>
        <v>13789706.94525309</v>
      </c>
      <c r="R251" s="167"/>
      <c r="S251" s="167"/>
      <c r="T251" s="649" t="s">
        <v>322</v>
      </c>
      <c r="U251" s="167"/>
      <c r="V251" s="650"/>
      <c r="W251" s="650"/>
      <c r="X251" s="620"/>
      <c r="Y251" s="620"/>
      <c r="Z251" s="620"/>
      <c r="AA251" s="620"/>
      <c r="AB251" s="455"/>
    </row>
    <row r="252" spans="1:28" s="35" customFormat="1" ht="15.75" thickBot="1">
      <c r="A252" s="244" t="s">
        <v>445</v>
      </c>
      <c r="B252" s="245" t="s">
        <v>696</v>
      </c>
      <c r="C252" s="246">
        <f aca="true" t="shared" si="115" ref="C252:H252">(C251-C250)/10</f>
        <v>-778.5000000000007</v>
      </c>
      <c r="D252" s="246">
        <f t="shared" si="115"/>
        <v>-1139</v>
      </c>
      <c r="E252" s="246">
        <f t="shared" si="115"/>
        <v>-1604.999999999994</v>
      </c>
      <c r="F252" s="246">
        <f t="shared" si="115"/>
        <v>2037.5</v>
      </c>
      <c r="G252" s="246">
        <f t="shared" si="115"/>
        <v>-182</v>
      </c>
      <c r="H252" s="246">
        <f t="shared" si="115"/>
        <v>-4116.000000000003</v>
      </c>
      <c r="I252" s="356">
        <f>SUM(C252:H252)</f>
        <v>-5782.999999999997</v>
      </c>
      <c r="J252" s="246">
        <f>J251-J250</f>
        <v>-4442.232628190322</v>
      </c>
      <c r="K252" s="246">
        <f>K251-K250</f>
        <v>-62272.23262819019</v>
      </c>
      <c r="L252" s="324">
        <f>(L251-L250)/10</f>
        <v>-704.1600000000004</v>
      </c>
      <c r="M252" s="325">
        <f>(M251-M250)/10</f>
        <v>-140.83200000000005</v>
      </c>
      <c r="N252" s="127">
        <f>L252+M252</f>
        <v>-844.9920000000004</v>
      </c>
      <c r="O252" s="654"/>
      <c r="P252" s="655">
        <f>(P251-P250)/10</f>
        <v>-120710.23271999993</v>
      </c>
      <c r="Q252" s="431">
        <f>K252+N252+P252</f>
        <v>-183827.45734819013</v>
      </c>
      <c r="R252" s="81"/>
      <c r="T252" s="350" t="s">
        <v>323</v>
      </c>
      <c r="U252" s="1"/>
      <c r="V252" s="92"/>
      <c r="W252" s="451" t="s">
        <v>312</v>
      </c>
      <c r="X252" s="91"/>
      <c r="Y252" s="452" t="s">
        <v>313</v>
      </c>
      <c r="Z252" s="448"/>
      <c r="AA252" s="448"/>
      <c r="AB252" s="450"/>
    </row>
    <row r="253" spans="1:29" s="169" customFormat="1" ht="15.75">
      <c r="A253" s="1062" t="s">
        <v>142</v>
      </c>
      <c r="B253" s="1063"/>
      <c r="C253" s="1063"/>
      <c r="D253" s="1063"/>
      <c r="E253" s="1063"/>
      <c r="F253" s="1063"/>
      <c r="G253" s="1063"/>
      <c r="H253" s="1063"/>
      <c r="I253" s="1063"/>
      <c r="J253" s="1063"/>
      <c r="K253" s="1063"/>
      <c r="L253" s="1063"/>
      <c r="M253" s="1063"/>
      <c r="N253" s="1063"/>
      <c r="O253" s="1063"/>
      <c r="P253" s="1060"/>
      <c r="Q253" s="1061"/>
      <c r="R253" s="185"/>
      <c r="S253" s="168"/>
      <c r="T253" s="350" t="s">
        <v>299</v>
      </c>
      <c r="U253" s="92" t="s">
        <v>324</v>
      </c>
      <c r="V253" s="447">
        <f>(V257-V256)/20/U256</f>
        <v>0.00456349206349206</v>
      </c>
      <c r="W253" s="453" t="s">
        <v>314</v>
      </c>
      <c r="X253" s="91"/>
      <c r="Y253" s="454">
        <v>10</v>
      </c>
      <c r="Z253" s="448"/>
      <c r="AA253" s="448"/>
      <c r="AB253" s="455"/>
      <c r="AC253" s="168"/>
    </row>
    <row r="254" spans="1:29" ht="15.75">
      <c r="A254" s="71" t="str">
        <f aca="true" t="shared" si="116" ref="A254:I254">A172</f>
        <v>C13</v>
      </c>
      <c r="B254" s="92" t="str">
        <f t="shared" si="116"/>
        <v>Ecosystem Accessible Water Surplus index t1 (~1995), [((C11-C9)/C9))*100]</v>
      </c>
      <c r="C254" s="58">
        <f t="shared" si="116"/>
        <v>49.72081810523834</v>
      </c>
      <c r="D254" s="58">
        <f t="shared" si="116"/>
        <v>36.60621385863057</v>
      </c>
      <c r="E254" s="58">
        <f t="shared" si="116"/>
        <v>82.81122848461588</v>
      </c>
      <c r="F254" s="58">
        <f t="shared" si="116"/>
        <v>78.04010914527942</v>
      </c>
      <c r="G254" s="58">
        <f t="shared" si="116"/>
        <v>91.1798237058832</v>
      </c>
      <c r="H254" s="58">
        <f t="shared" si="116"/>
        <v>93.7426157504282</v>
      </c>
      <c r="I254" s="276">
        <f t="shared" si="116"/>
        <v>77.93210731202103</v>
      </c>
      <c r="J254" s="281"/>
      <c r="K254" s="194">
        <f>K172</f>
        <v>77.93210731202103</v>
      </c>
      <c r="L254" s="316"/>
      <c r="M254" s="316"/>
      <c r="N254" s="316"/>
      <c r="O254" s="302"/>
      <c r="P254" s="388"/>
      <c r="Q254" s="508"/>
      <c r="R254" s="12"/>
      <c r="T254" s="649" t="s">
        <v>307</v>
      </c>
      <c r="U254" s="167">
        <v>1.3142857142857143</v>
      </c>
      <c r="V254" s="650"/>
      <c r="W254" s="650" t="s">
        <v>315</v>
      </c>
      <c r="X254" s="620"/>
      <c r="Y254" s="620" t="s">
        <v>316</v>
      </c>
      <c r="Z254" s="620"/>
      <c r="AA254" s="620"/>
      <c r="AB254" s="455"/>
      <c r="AC254" s="42"/>
    </row>
    <row r="255" spans="1:96" s="94" customFormat="1" ht="15.75">
      <c r="A255" s="71" t="str">
        <f aca="true" t="shared" si="117" ref="A255:I255">A194</f>
        <v>D7</v>
      </c>
      <c r="B255" s="19" t="str">
        <f t="shared" si="117"/>
        <v>Mean Landscape Ecosystem Potential (LEP) by km^2, t1 (~1995), 0-100 scale</v>
      </c>
      <c r="C255" s="58">
        <f t="shared" si="117"/>
        <v>2.8129428403291143</v>
      </c>
      <c r="D255" s="58">
        <f t="shared" si="117"/>
        <v>21.552974464231127</v>
      </c>
      <c r="E255" s="58">
        <f t="shared" si="117"/>
        <v>20.28558916401722</v>
      </c>
      <c r="F255" s="58">
        <f t="shared" si="117"/>
        <v>31.35300847735852</v>
      </c>
      <c r="G255" s="58">
        <f t="shared" si="117"/>
        <v>30.798988462109953</v>
      </c>
      <c r="H255" s="58">
        <f t="shared" si="117"/>
        <v>9.911013691970023</v>
      </c>
      <c r="I255" s="276">
        <f t="shared" si="117"/>
        <v>18.347010291613</v>
      </c>
      <c r="J255" s="281"/>
      <c r="K255" s="194">
        <f>K194</f>
        <v>18.347010291613</v>
      </c>
      <c r="L255" s="316"/>
      <c r="M255" s="316"/>
      <c r="N255" s="316"/>
      <c r="O255" s="302"/>
      <c r="P255" s="388"/>
      <c r="Q255" s="508"/>
      <c r="R255" s="12"/>
      <c r="S255" s="42"/>
      <c r="T255" s="649"/>
      <c r="U255" s="167" t="s">
        <v>308</v>
      </c>
      <c r="V255" s="650" t="s">
        <v>309</v>
      </c>
      <c r="W255" s="650" t="s">
        <v>317</v>
      </c>
      <c r="X255" s="620"/>
      <c r="Y255" s="620" t="s">
        <v>318</v>
      </c>
      <c r="Z255" s="620"/>
      <c r="AA255" s="620"/>
      <c r="AB255" s="455"/>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row>
    <row r="256" spans="1:96" s="94" customFormat="1" ht="15.75">
      <c r="A256" s="100" t="str">
        <f>A226</f>
        <v>D21</v>
      </c>
      <c r="B256" s="101" t="str">
        <f>B226</f>
        <v>Mean Rivers Ecosystem Potential (REP) t1 (~1995)/ points by km^2</v>
      </c>
      <c r="C256" s="281"/>
      <c r="D256" s="281"/>
      <c r="E256" s="281"/>
      <c r="F256" s="281"/>
      <c r="G256" s="281"/>
      <c r="H256" s="281"/>
      <c r="I256" s="80"/>
      <c r="J256" s="58">
        <f>J226</f>
        <v>14.627328787878785</v>
      </c>
      <c r="K256" s="194">
        <f>J256</f>
        <v>14.627328787878785</v>
      </c>
      <c r="L256" s="316"/>
      <c r="M256" s="316"/>
      <c r="N256" s="316"/>
      <c r="O256" s="302"/>
      <c r="P256" s="388"/>
      <c r="Q256" s="508"/>
      <c r="R256" s="12"/>
      <c r="S256" s="42"/>
      <c r="T256" s="616" t="s">
        <v>300</v>
      </c>
      <c r="U256" s="622">
        <v>360</v>
      </c>
      <c r="V256" s="590">
        <v>473.14285714285717</v>
      </c>
      <c r="W256" s="620"/>
      <c r="X256" s="620"/>
      <c r="Y256" s="620"/>
      <c r="Z256" s="620"/>
      <c r="AA256" s="620"/>
      <c r="AB256" s="624"/>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row>
    <row r="257" spans="1:28" s="42" customFormat="1" ht="15">
      <c r="A257" s="55" t="str">
        <f aca="true" t="shared" si="118" ref="A257:I257">A243</f>
        <v>E11</v>
      </c>
      <c r="B257" s="19" t="str">
        <f t="shared" si="118"/>
        <v>Mean Ecosystem Biodiversity Rating (EBR) t1 (~1995), weighted km^2 [SQRT E4*E6]</v>
      </c>
      <c r="C257" s="58">
        <f t="shared" si="118"/>
        <v>13.387799417820334</v>
      </c>
      <c r="D257" s="58">
        <f t="shared" si="118"/>
        <v>28.0375008923838</v>
      </c>
      <c r="E257" s="58">
        <f t="shared" si="118"/>
        <v>38.75491731849147</v>
      </c>
      <c r="F257" s="58">
        <f t="shared" si="118"/>
        <v>45.98479426644636</v>
      </c>
      <c r="G257" s="58">
        <f t="shared" si="118"/>
        <v>64.03160452106198</v>
      </c>
      <c r="H257" s="58">
        <f t="shared" si="118"/>
        <v>28.096749259788456</v>
      </c>
      <c r="I257" s="276">
        <f t="shared" si="118"/>
        <v>35.00159777278387</v>
      </c>
      <c r="J257" s="58">
        <v>30</v>
      </c>
      <c r="K257" s="194">
        <f>K243</f>
        <v>20.475715921434826</v>
      </c>
      <c r="L257" s="315">
        <f>L243</f>
        <v>59.16079783099616</v>
      </c>
      <c r="M257" s="315">
        <f>M243</f>
        <v>59.16079783099616</v>
      </c>
      <c r="N257" s="318">
        <f>(L257+M257)/2</f>
        <v>59.16079783099616</v>
      </c>
      <c r="O257" s="25"/>
      <c r="P257" s="508"/>
      <c r="Q257" s="508"/>
      <c r="R257" s="12"/>
      <c r="T257" s="350" t="s">
        <v>301</v>
      </c>
      <c r="U257" s="92">
        <v>385</v>
      </c>
      <c r="V257" s="4">
        <v>506</v>
      </c>
      <c r="W257" s="5"/>
      <c r="X257" s="448"/>
      <c r="Y257" s="448"/>
      <c r="Z257" s="448"/>
      <c r="AA257" s="448"/>
      <c r="AB257" s="457"/>
    </row>
    <row r="258" spans="1:96" s="93" customFormat="1" ht="6.75" customHeight="1">
      <c r="A258" s="203"/>
      <c r="B258" s="13"/>
      <c r="C258" s="281"/>
      <c r="D258" s="281"/>
      <c r="E258" s="281"/>
      <c r="F258" s="281"/>
      <c r="G258" s="281"/>
      <c r="H258" s="281"/>
      <c r="I258" s="80"/>
      <c r="J258" s="13"/>
      <c r="K258" s="89"/>
      <c r="L258" s="204"/>
      <c r="M258" s="204"/>
      <c r="N258" s="204"/>
      <c r="O258" s="26"/>
      <c r="P258" s="372"/>
      <c r="Q258" s="509"/>
      <c r="R258" s="49"/>
      <c r="S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row>
    <row r="259" spans="1:96" ht="15.75">
      <c r="A259" s="71" t="str">
        <f aca="true" t="shared" si="119" ref="A259:I259">A173</f>
        <v>C14</v>
      </c>
      <c r="B259" s="92" t="str">
        <f t="shared" si="119"/>
        <v>Ecosystem Accessible Water Surplus index t10 (~2005), [((C12-C10)/C10))*100]</v>
      </c>
      <c r="C259" s="58">
        <f t="shared" si="119"/>
        <v>42.323016592454316</v>
      </c>
      <c r="D259" s="58">
        <f t="shared" si="119"/>
        <v>27.96502791392459</v>
      </c>
      <c r="E259" s="58">
        <f t="shared" si="119"/>
        <v>77.7074527857879</v>
      </c>
      <c r="F259" s="58">
        <f t="shared" si="119"/>
        <v>73.01651049769744</v>
      </c>
      <c r="G259" s="58">
        <f t="shared" si="119"/>
        <v>88.59279670036572</v>
      </c>
      <c r="H259" s="58">
        <f t="shared" si="119"/>
        <v>91.88310963090663</v>
      </c>
      <c r="I259" s="276">
        <f t="shared" si="119"/>
        <v>72.3996779888565</v>
      </c>
      <c r="J259" s="281"/>
      <c r="K259" s="194">
        <f>K173</f>
        <v>72.3996779888565</v>
      </c>
      <c r="L259" s="316"/>
      <c r="M259" s="316"/>
      <c r="N259" s="316"/>
      <c r="O259" s="302"/>
      <c r="P259" s="388"/>
      <c r="Q259" s="508"/>
      <c r="R259" s="12"/>
      <c r="T259" s="625" t="s">
        <v>302</v>
      </c>
      <c r="U259" s="590">
        <v>450</v>
      </c>
      <c r="V259" s="590">
        <v>591.4285714285714</v>
      </c>
      <c r="W259" s="620"/>
      <c r="X259" s="620"/>
      <c r="Y259" s="620"/>
      <c r="Z259" s="620"/>
      <c r="AA259" s="620"/>
      <c r="AB259" s="624"/>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row>
    <row r="260" spans="1:96" s="94" customFormat="1" ht="15">
      <c r="A260" s="71" t="str">
        <f aca="true" t="shared" si="120" ref="A260:I260">A195</f>
        <v>D8</v>
      </c>
      <c r="B260" s="19" t="str">
        <f t="shared" si="120"/>
        <v>Mean Landscape Ecosystem Potential (LEP) by km^2, t10 (~2005), 0-100 scale</v>
      </c>
      <c r="C260" s="58">
        <f t="shared" si="120"/>
        <v>2.6758691447770193</v>
      </c>
      <c r="D260" s="58">
        <f t="shared" si="120"/>
        <v>22.144520550357967</v>
      </c>
      <c r="E260" s="58">
        <f t="shared" si="120"/>
        <v>19.864423682217414</v>
      </c>
      <c r="F260" s="58">
        <f t="shared" si="120"/>
        <v>32.18929771069243</v>
      </c>
      <c r="G260" s="58">
        <f t="shared" si="120"/>
        <v>29.94592905993795</v>
      </c>
      <c r="H260" s="58">
        <f t="shared" si="120"/>
        <v>9.8800310898787</v>
      </c>
      <c r="I260" s="276">
        <f t="shared" si="120"/>
        <v>18.266856445485143</v>
      </c>
      <c r="J260" s="319"/>
      <c r="K260" s="194">
        <f>K195</f>
        <v>18.266856445485143</v>
      </c>
      <c r="L260" s="316"/>
      <c r="M260" s="316"/>
      <c r="N260" s="316"/>
      <c r="O260" s="302"/>
      <c r="P260" s="388"/>
      <c r="Q260" s="508"/>
      <c r="R260" s="12"/>
      <c r="S260" s="42"/>
      <c r="T260" s="562"/>
      <c r="U260" s="38"/>
      <c r="V260" s="38"/>
      <c r="W260" s="222"/>
      <c r="X260" s="222"/>
      <c r="Y260" s="222"/>
      <c r="Z260" s="222"/>
      <c r="AA260" s="222"/>
      <c r="AB260" s="457"/>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row>
    <row r="261" spans="1:96" s="94" customFormat="1" ht="15.75">
      <c r="A261" s="100" t="str">
        <f>A227</f>
        <v>D22</v>
      </c>
      <c r="B261" s="101" t="str">
        <f>B227</f>
        <v>Mean Rivers Ecosystem Potential (REP) t10 (~2005)/ points by km^2</v>
      </c>
      <c r="C261" s="281"/>
      <c r="D261" s="281"/>
      <c r="E261" s="281"/>
      <c r="F261" s="281"/>
      <c r="G261" s="281"/>
      <c r="H261" s="281"/>
      <c r="I261" s="80"/>
      <c r="J261" s="58">
        <f>J227</f>
        <v>13.600164333333332</v>
      </c>
      <c r="K261" s="194">
        <f>J261</f>
        <v>13.600164333333332</v>
      </c>
      <c r="L261" s="316"/>
      <c r="M261" s="316"/>
      <c r="N261" s="316"/>
      <c r="O261" s="302"/>
      <c r="P261" s="388"/>
      <c r="Q261" s="508"/>
      <c r="R261" s="12"/>
      <c r="S261" s="42"/>
      <c r="T261" s="625" t="s">
        <v>303</v>
      </c>
      <c r="U261" s="590">
        <v>350</v>
      </c>
      <c r="V261" s="590">
        <v>460</v>
      </c>
      <c r="W261" s="620"/>
      <c r="X261" s="620"/>
      <c r="Y261" s="620"/>
      <c r="Z261" s="620"/>
      <c r="AA261" s="620"/>
      <c r="AB261" s="624"/>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c r="BR261" s="42"/>
      <c r="BS261" s="42"/>
      <c r="BT261" s="42"/>
      <c r="BU261" s="42"/>
      <c r="BV261" s="42"/>
      <c r="BW261" s="42"/>
      <c r="BX261" s="42"/>
      <c r="BY261" s="42"/>
      <c r="BZ261" s="42"/>
      <c r="CA261" s="42"/>
      <c r="CB261" s="42"/>
      <c r="CC261" s="42"/>
      <c r="CD261" s="42"/>
      <c r="CE261" s="42"/>
      <c r="CF261" s="42"/>
      <c r="CG261" s="42"/>
      <c r="CH261" s="42"/>
      <c r="CI261" s="42"/>
      <c r="CJ261" s="42"/>
      <c r="CK261" s="42"/>
      <c r="CL261" s="42"/>
      <c r="CM261" s="42"/>
      <c r="CN261" s="42"/>
      <c r="CO261" s="42"/>
      <c r="CP261" s="42"/>
      <c r="CQ261" s="42"/>
      <c r="CR261" s="42"/>
    </row>
    <row r="262" spans="1:28" s="42" customFormat="1" ht="15">
      <c r="A262" s="55" t="str">
        <f aca="true" t="shared" si="121" ref="A262:I262">A244</f>
        <v>E12</v>
      </c>
      <c r="B262" s="19" t="str">
        <f t="shared" si="121"/>
        <v>Mean Ecosystem Biodiversity Rating (EBR) t10 (~2005), weighted km^2 [SQRT E5*E7]</v>
      </c>
      <c r="C262" s="58">
        <f t="shared" si="121"/>
        <v>12.686133043251985</v>
      </c>
      <c r="D262" s="58">
        <f t="shared" si="121"/>
        <v>25.628843161613993</v>
      </c>
      <c r="E262" s="58">
        <f t="shared" si="121"/>
        <v>37.292758438405</v>
      </c>
      <c r="F262" s="58">
        <f t="shared" si="121"/>
        <v>45.7840303708307</v>
      </c>
      <c r="G262" s="58">
        <f t="shared" si="121"/>
        <v>62.0415615410507</v>
      </c>
      <c r="H262" s="58">
        <f t="shared" si="121"/>
        <v>25.999403505856936</v>
      </c>
      <c r="I262" s="58">
        <f t="shared" si="121"/>
        <v>33.33489331280269</v>
      </c>
      <c r="J262" s="58">
        <v>30</v>
      </c>
      <c r="K262" s="194">
        <f>K244</f>
        <v>19.405663416494235</v>
      </c>
      <c r="L262" s="315">
        <f>L244</f>
        <v>50</v>
      </c>
      <c r="M262" s="315">
        <f>M244</f>
        <v>50</v>
      </c>
      <c r="N262" s="318">
        <f>(L262+M262)/2</f>
        <v>50</v>
      </c>
      <c r="O262" s="25"/>
      <c r="P262" s="508"/>
      <c r="Q262" s="508"/>
      <c r="R262" s="12"/>
      <c r="T262" s="350"/>
      <c r="U262" s="4"/>
      <c r="V262" s="92" t="s">
        <v>304</v>
      </c>
      <c r="W262" s="5"/>
      <c r="X262" s="448"/>
      <c r="Y262" s="448"/>
      <c r="Z262" s="448"/>
      <c r="AA262" s="448"/>
      <c r="AB262" s="456"/>
    </row>
    <row r="263" spans="1:19" s="93" customFormat="1" ht="6.75" customHeight="1">
      <c r="A263" s="203"/>
      <c r="B263" s="13"/>
      <c r="C263" s="281"/>
      <c r="D263" s="281"/>
      <c r="E263" s="281"/>
      <c r="F263" s="281"/>
      <c r="G263" s="281"/>
      <c r="H263" s="281"/>
      <c r="I263" s="15"/>
      <c r="J263" s="13"/>
      <c r="K263" s="89"/>
      <c r="L263" s="204"/>
      <c r="M263" s="204"/>
      <c r="N263" s="204"/>
      <c r="O263" s="26"/>
      <c r="P263" s="372"/>
      <c r="Q263" s="509"/>
      <c r="R263" s="49"/>
      <c r="S263" s="42"/>
    </row>
    <row r="264" spans="1:28" s="169" customFormat="1" ht="16.5" thickBot="1">
      <c r="A264" s="413" t="s">
        <v>63</v>
      </c>
      <c r="B264" s="574" t="s">
        <v>449</v>
      </c>
      <c r="C264" s="410">
        <f aca="true" t="shared" si="122" ref="C264:H264">SUM(C254:C257)/3</f>
        <v>21.973853454462596</v>
      </c>
      <c r="D264" s="410">
        <f t="shared" si="122"/>
        <v>28.732229738415167</v>
      </c>
      <c r="E264" s="410">
        <f t="shared" si="122"/>
        <v>47.28391165570819</v>
      </c>
      <c r="F264" s="410">
        <f t="shared" si="122"/>
        <v>51.79263729636143</v>
      </c>
      <c r="G264" s="410">
        <f t="shared" si="122"/>
        <v>62.00347222968504</v>
      </c>
      <c r="H264" s="410">
        <f t="shared" si="122"/>
        <v>43.91679290072889</v>
      </c>
      <c r="I264" s="410"/>
      <c r="J264" s="410">
        <f>SUM(J256:J257)/2</f>
        <v>22.31366439393939</v>
      </c>
      <c r="K264" s="593"/>
      <c r="L264" s="414">
        <f>L257</f>
        <v>59.16079783099616</v>
      </c>
      <c r="M264" s="433">
        <f>M257</f>
        <v>59.16079783099616</v>
      </c>
      <c r="N264" s="433">
        <f>(L264+M264)/2</f>
        <v>59.16079783099616</v>
      </c>
      <c r="O264" s="596"/>
      <c r="P264" s="597">
        <v>1</v>
      </c>
      <c r="Q264" s="598"/>
      <c r="R264" s="167"/>
      <c r="S264" s="167"/>
      <c r="T264" s="350" t="s">
        <v>305</v>
      </c>
      <c r="U264" s="92" t="s">
        <v>310</v>
      </c>
      <c r="V264" s="1">
        <v>700000</v>
      </c>
      <c r="W264" s="5"/>
      <c r="X264" s="448">
        <v>502959302032.0461</v>
      </c>
      <c r="Y264" s="448"/>
      <c r="Z264" s="448"/>
      <c r="AA264" s="448"/>
      <c r="AB264" s="449"/>
    </row>
    <row r="265" spans="1:28" s="169" customFormat="1" ht="16.5" thickBot="1">
      <c r="A265" s="413" t="s">
        <v>220</v>
      </c>
      <c r="B265" s="574" t="s">
        <v>450</v>
      </c>
      <c r="C265" s="410">
        <f aca="true" t="shared" si="123" ref="C265:H265">SUM(C259:C262)/3</f>
        <v>19.22833959349444</v>
      </c>
      <c r="D265" s="410">
        <f t="shared" si="123"/>
        <v>25.246130541965517</v>
      </c>
      <c r="E265" s="410">
        <f t="shared" si="123"/>
        <v>44.95487830213677</v>
      </c>
      <c r="F265" s="410">
        <f t="shared" si="123"/>
        <v>50.32994619307352</v>
      </c>
      <c r="G265" s="410">
        <f t="shared" si="123"/>
        <v>60.19342910045145</v>
      </c>
      <c r="H265" s="410">
        <f t="shared" si="123"/>
        <v>42.58751474221409</v>
      </c>
      <c r="I265" s="410"/>
      <c r="J265" s="410">
        <f>SUM(J261:J262)/2</f>
        <v>21.800082166666666</v>
      </c>
      <c r="K265" s="593"/>
      <c r="L265" s="414">
        <f>L262</f>
        <v>50</v>
      </c>
      <c r="M265" s="433">
        <f>M262</f>
        <v>50</v>
      </c>
      <c r="N265" s="433">
        <f>(L265+M265)/2</f>
        <v>50</v>
      </c>
      <c r="O265" s="596"/>
      <c r="P265" s="597">
        <v>1</v>
      </c>
      <c r="Q265" s="598"/>
      <c r="R265" s="167"/>
      <c r="S265" s="167"/>
      <c r="T265" s="616" t="s">
        <v>306</v>
      </c>
      <c r="U265" s="617">
        <v>0.2969063176104168</v>
      </c>
      <c r="V265" s="590">
        <v>207834.42232729177</v>
      </c>
      <c r="W265" s="618">
        <f>W266*U265</f>
        <v>137170718736.01256</v>
      </c>
      <c r="X265" s="619">
        <f>X264*12/44</f>
        <v>137170718736.01256</v>
      </c>
      <c r="Y265" s="620"/>
      <c r="Z265" s="620"/>
      <c r="AA265" s="620"/>
      <c r="AB265" s="455"/>
    </row>
    <row r="266" spans="1:28" s="82" customFormat="1" ht="16.5" thickBot="1">
      <c r="A266" s="242" t="s">
        <v>221</v>
      </c>
      <c r="B266" s="243" t="s">
        <v>218</v>
      </c>
      <c r="C266" s="288">
        <f>((C265-C264)/C264)*100</f>
        <v>-12.494457864014647</v>
      </c>
      <c r="D266" s="288">
        <f aca="true" t="shared" si="124" ref="D266:M266">((D265-D264)/D264)*100</f>
        <v>-12.133061820081142</v>
      </c>
      <c r="E266" s="288">
        <f t="shared" si="124"/>
        <v>-4.925635955269478</v>
      </c>
      <c r="F266" s="288">
        <f t="shared" si="124"/>
        <v>-2.8241294122913247</v>
      </c>
      <c r="G266" s="288">
        <f t="shared" si="124"/>
        <v>-2.9192609125638618</v>
      </c>
      <c r="H266" s="288">
        <f t="shared" si="124"/>
        <v>-3.026810636012406</v>
      </c>
      <c r="I266" s="280"/>
      <c r="J266" s="288">
        <f t="shared" si="124"/>
        <v>-2.301648972600926</v>
      </c>
      <c r="K266" s="294"/>
      <c r="L266" s="288">
        <f t="shared" si="124"/>
        <v>-15.48457452714834</v>
      </c>
      <c r="M266" s="288">
        <f t="shared" si="124"/>
        <v>-15.48457452714834</v>
      </c>
      <c r="N266" s="318">
        <f>(L266+M266)/2</f>
        <v>-15.48457452714834</v>
      </c>
      <c r="O266" s="320"/>
      <c r="P266" s="656"/>
      <c r="Q266" s="511"/>
      <c r="R266" s="81"/>
      <c r="T266" s="627" t="s">
        <v>319</v>
      </c>
      <c r="U266" s="604"/>
      <c r="V266" s="584" t="s">
        <v>320</v>
      </c>
      <c r="W266" s="628">
        <f>W267*12/44</f>
        <v>462000000000</v>
      </c>
      <c r="X266" s="167" t="s">
        <v>325</v>
      </c>
      <c r="Y266" s="629">
        <f>POWER(0.9954,20)</f>
        <v>0.9119115747188011</v>
      </c>
      <c r="Z266" s="630"/>
      <c r="AA266" s="630"/>
      <c r="AB266" s="631"/>
    </row>
    <row r="267" spans="1:27" s="169" customFormat="1" ht="15.75">
      <c r="A267" s="1059" t="s">
        <v>800</v>
      </c>
      <c r="B267" s="1060"/>
      <c r="C267" s="1060"/>
      <c r="D267" s="1060"/>
      <c r="E267" s="1060"/>
      <c r="F267" s="1060"/>
      <c r="G267" s="1060"/>
      <c r="H267" s="1060"/>
      <c r="I267" s="1060"/>
      <c r="J267" s="1060"/>
      <c r="K267" s="1061"/>
      <c r="L267" s="733"/>
      <c r="M267" s="734"/>
      <c r="N267" s="735"/>
      <c r="O267" s="736"/>
      <c r="P267" s="737"/>
      <c r="Q267" s="738"/>
      <c r="R267" s="185"/>
      <c r="S267" s="185"/>
      <c r="T267" s="185"/>
      <c r="U267" s="168"/>
      <c r="W267" s="169">
        <v>1694000000000</v>
      </c>
      <c r="X267" s="357"/>
      <c r="Y267" s="357"/>
      <c r="Z267" s="357"/>
      <c r="AA267" s="357"/>
    </row>
    <row r="268" spans="1:27" s="169" customFormat="1" ht="15.75">
      <c r="A268" s="413" t="s">
        <v>222</v>
      </c>
      <c r="B268" s="574" t="s">
        <v>801</v>
      </c>
      <c r="C268" s="410">
        <f aca="true" t="shared" si="125" ref="C268:H268">C250</f>
        <v>66172.5</v>
      </c>
      <c r="D268" s="410">
        <f t="shared" si="125"/>
        <v>250580</v>
      </c>
      <c r="E268" s="410">
        <f t="shared" si="125"/>
        <v>272849.99999999994</v>
      </c>
      <c r="F268" s="410">
        <f t="shared" si="125"/>
        <v>350450</v>
      </c>
      <c r="G268" s="410">
        <f t="shared" si="125"/>
        <v>82810</v>
      </c>
      <c r="H268" s="410">
        <f t="shared" si="125"/>
        <v>249900</v>
      </c>
      <c r="I268" s="410">
        <f>SUM(C268:H268)</f>
        <v>1272762.5</v>
      </c>
      <c r="J268" s="410">
        <f>J250</f>
        <v>63259.58508127816</v>
      </c>
      <c r="K268" s="593">
        <f>I268+J268</f>
        <v>1336022.085081278</v>
      </c>
      <c r="L268" s="414">
        <f>L250</f>
        <v>12031.200000000003</v>
      </c>
      <c r="M268" s="433">
        <f>M250</f>
        <v>2406.2400000000007</v>
      </c>
      <c r="N268" s="433">
        <f>L268+M268</f>
        <v>14437.440000000002</v>
      </c>
      <c r="O268" s="596"/>
      <c r="P268" s="597">
        <f>P250</f>
        <v>13717071.9</v>
      </c>
      <c r="Q268" s="598">
        <f>K268+N268+P268</f>
        <v>15067531.42508128</v>
      </c>
      <c r="R268" s="167"/>
      <c r="S268" s="167"/>
      <c r="T268" s="167"/>
      <c r="U268" s="168"/>
      <c r="X268" s="357"/>
      <c r="Y268" s="357"/>
      <c r="Z268" s="357"/>
      <c r="AA268" s="357"/>
    </row>
    <row r="269" spans="1:27" s="169" customFormat="1" ht="15.75">
      <c r="A269" s="413" t="s">
        <v>223</v>
      </c>
      <c r="B269" s="574" t="s">
        <v>802</v>
      </c>
      <c r="C269" s="410">
        <f aca="true" t="shared" si="126" ref="C269:H269">C251*((100+C266)/100)</f>
        <v>51092.29841464844</v>
      </c>
      <c r="D269" s="410">
        <f t="shared" si="126"/>
        <v>210168.92943254794</v>
      </c>
      <c r="E269" s="410">
        <f t="shared" si="126"/>
        <v>244150.96686686797</v>
      </c>
      <c r="F269" s="410">
        <f t="shared" si="126"/>
        <v>360352.4221068707</v>
      </c>
      <c r="G269" s="410">
        <f t="shared" si="126"/>
        <v>78625.69058691453</v>
      </c>
      <c r="H269" s="410">
        <f t="shared" si="126"/>
        <v>202421.8354783877</v>
      </c>
      <c r="I269" s="410">
        <f>SUM(C269:H269)</f>
        <v>1146812.1428862372</v>
      </c>
      <c r="J269" s="410">
        <f>J251*((100+J266)/100)</f>
        <v>57463.583464640265</v>
      </c>
      <c r="K269" s="593">
        <f aca="true" t="shared" si="127" ref="K269:K279">I269+J269</f>
        <v>1204275.7263508774</v>
      </c>
      <c r="L269" s="414">
        <f>L251*((100+L266)/100)</f>
        <v>4216.981669393405</v>
      </c>
      <c r="M269" s="433">
        <f>M251*((100+M266)/100)</f>
        <v>843.3963338786813</v>
      </c>
      <c r="N269" s="433">
        <f aca="true" t="shared" si="128" ref="N269:N279">L269+M269</f>
        <v>5060.378003272087</v>
      </c>
      <c r="O269" s="596"/>
      <c r="P269" s="597">
        <f>P251</f>
        <v>12509969.572800001</v>
      </c>
      <c r="Q269" s="598">
        <f>K269+N269+P269</f>
        <v>13719305.67715415</v>
      </c>
      <c r="R269" s="167"/>
      <c r="S269" s="167"/>
      <c r="T269" s="167"/>
      <c r="U269" s="168"/>
      <c r="X269" s="357"/>
      <c r="Y269" s="357"/>
      <c r="Z269" s="357"/>
      <c r="AA269" s="357"/>
    </row>
    <row r="270" spans="1:18" s="586" customFormat="1" ht="15.75">
      <c r="A270" s="621" t="s">
        <v>446</v>
      </c>
      <c r="B270" s="1030" t="s">
        <v>803</v>
      </c>
      <c r="C270" s="928">
        <f aca="true" t="shared" si="129" ref="C270:H270">C269-C268</f>
        <v>-15080.201585351562</v>
      </c>
      <c r="D270" s="928">
        <f t="shared" si="129"/>
        <v>-40411.07056745206</v>
      </c>
      <c r="E270" s="928">
        <f t="shared" si="129"/>
        <v>-28699.033133131976</v>
      </c>
      <c r="F270" s="928">
        <f t="shared" si="129"/>
        <v>9902.422106870683</v>
      </c>
      <c r="G270" s="928">
        <f t="shared" si="129"/>
        <v>-4184.309413085473</v>
      </c>
      <c r="H270" s="928">
        <f t="shared" si="129"/>
        <v>-47478.164521612314</v>
      </c>
      <c r="I270" s="584">
        <f>SUM(C270:H270)</f>
        <v>-125950.3571137627</v>
      </c>
      <c r="J270" s="928">
        <f>J269-J268</f>
        <v>-5796.001616637892</v>
      </c>
      <c r="K270" s="876">
        <f t="shared" si="127"/>
        <v>-131746.3587304006</v>
      </c>
      <c r="L270" s="1031">
        <f>L269-L268</f>
        <v>-7814.218330606597</v>
      </c>
      <c r="M270" s="928">
        <f>M269-M268</f>
        <v>-1562.8436661213195</v>
      </c>
      <c r="N270" s="623">
        <f t="shared" si="128"/>
        <v>-9377.061996727916</v>
      </c>
      <c r="O270" s="1032"/>
      <c r="P270" s="963">
        <f>P269-P268</f>
        <v>-1207102.3271999992</v>
      </c>
      <c r="Q270" s="877">
        <f>K270+N270+P270</f>
        <v>-1348225.7479271279</v>
      </c>
      <c r="R270" s="185"/>
    </row>
    <row r="271" spans="1:18" s="168" customFormat="1" ht="15.75">
      <c r="A271" s="848" t="s">
        <v>566</v>
      </c>
      <c r="B271" s="886" t="s">
        <v>804</v>
      </c>
      <c r="C271" s="584">
        <f>C270/10</f>
        <v>-1508.0201585351563</v>
      </c>
      <c r="D271" s="584">
        <f aca="true" t="shared" si="130" ref="D271:K271">D270/10</f>
        <v>-4041.1070567452057</v>
      </c>
      <c r="E271" s="584">
        <f t="shared" si="130"/>
        <v>-2869.9033133131975</v>
      </c>
      <c r="F271" s="584">
        <f t="shared" si="130"/>
        <v>990.2422106870683</v>
      </c>
      <c r="G271" s="584">
        <f t="shared" si="130"/>
        <v>-418.43094130854735</v>
      </c>
      <c r="H271" s="584">
        <f t="shared" si="130"/>
        <v>-4747.816452161232</v>
      </c>
      <c r="I271" s="584">
        <f t="shared" si="130"/>
        <v>-12595.03571137627</v>
      </c>
      <c r="J271" s="584">
        <f t="shared" si="130"/>
        <v>-579.6001616637892</v>
      </c>
      <c r="K271" s="584">
        <f t="shared" si="130"/>
        <v>-13174.635873040059</v>
      </c>
      <c r="L271" s="887">
        <f>L270/10</f>
        <v>-781.4218330606598</v>
      </c>
      <c r="M271" s="584">
        <f>M270/10</f>
        <v>-156.28436661213195</v>
      </c>
      <c r="N271" s="584">
        <f>N270/10</f>
        <v>-937.7061996727916</v>
      </c>
      <c r="O271" s="888"/>
      <c r="P271" s="889">
        <f>P270/10</f>
        <v>-120710.23271999993</v>
      </c>
      <c r="Q271" s="877">
        <f>Q270/10</f>
        <v>-134822.57479271278</v>
      </c>
      <c r="R271" s="167"/>
    </row>
    <row r="272" spans="1:17" s="881" customFormat="1" ht="12.75">
      <c r="A272" s="878" t="s">
        <v>565</v>
      </c>
      <c r="B272" s="890" t="s">
        <v>805</v>
      </c>
      <c r="C272" s="891">
        <f aca="true" t="shared" si="131" ref="C272:L272">C270/10/C268%</f>
        <v>-2.2789227527071763</v>
      </c>
      <c r="D272" s="891">
        <f t="shared" si="131"/>
        <v>-1.6127013555531988</v>
      </c>
      <c r="E272" s="891">
        <f t="shared" si="131"/>
        <v>-1.0518245604959493</v>
      </c>
      <c r="F272" s="891">
        <f t="shared" si="131"/>
        <v>0.28256305055987113</v>
      </c>
      <c r="G272" s="891">
        <f t="shared" si="131"/>
        <v>-0.5052903529870153</v>
      </c>
      <c r="H272" s="891">
        <f t="shared" si="131"/>
        <v>-1.899886535478684</v>
      </c>
      <c r="I272" s="891">
        <f t="shared" si="131"/>
        <v>-0.9895825585194621</v>
      </c>
      <c r="J272" s="891">
        <f t="shared" si="131"/>
        <v>-0.9162250446617669</v>
      </c>
      <c r="K272" s="892">
        <f t="shared" si="131"/>
        <v>-0.9861091384756988</v>
      </c>
      <c r="L272" s="893">
        <f t="shared" si="131"/>
        <v>-6.494961708396998</v>
      </c>
      <c r="M272" s="891">
        <f>M270/10/M268%</f>
        <v>-6.494961708396997</v>
      </c>
      <c r="N272" s="879">
        <f>(L272+M272)/2</f>
        <v>-6.494961708396998</v>
      </c>
      <c r="O272" s="894"/>
      <c r="P272" s="880">
        <f>P270/10/P268%</f>
        <v>-0.8799999999999993</v>
      </c>
      <c r="Q272" s="880">
        <f>Q270/10/Q268%</f>
        <v>-0.8947887413613641</v>
      </c>
    </row>
    <row r="273" spans="1:19" s="168" customFormat="1" ht="15.75">
      <c r="A273" s="831" t="s">
        <v>224</v>
      </c>
      <c r="B273" s="886" t="s">
        <v>806</v>
      </c>
      <c r="C273" s="584">
        <f>C270*-0.8</f>
        <v>12064.16126828125</v>
      </c>
      <c r="D273" s="584">
        <f>D270*-1.5</f>
        <v>60616.60585117809</v>
      </c>
      <c r="E273" s="584">
        <f>E270*-1.5</f>
        <v>43048.549699697964</v>
      </c>
      <c r="F273" s="584">
        <f>F270*2.5</f>
        <v>24756.055267176707</v>
      </c>
      <c r="G273" s="584">
        <f>G270*-1.5</f>
        <v>6276.46411962821</v>
      </c>
      <c r="H273" s="584">
        <f>H270*-1.5</f>
        <v>71217.24678241847</v>
      </c>
      <c r="I273" s="584">
        <f>SUM(C273:H273)</f>
        <v>217979.0829883807</v>
      </c>
      <c r="J273" s="584">
        <f>J270*-1.5</f>
        <v>8694.002424956838</v>
      </c>
      <c r="K273" s="876">
        <f t="shared" si="127"/>
        <v>226673.0854133375</v>
      </c>
      <c r="L273" s="887">
        <f>L270*-1.5</f>
        <v>11721.327495909896</v>
      </c>
      <c r="M273" s="584">
        <f>M270*-1.5</f>
        <v>2344.265499181979</v>
      </c>
      <c r="N273" s="584">
        <f t="shared" si="128"/>
        <v>14065.592995091876</v>
      </c>
      <c r="O273" s="895"/>
      <c r="P273" s="889">
        <f>P270*-0.5</f>
        <v>603551.1635999996</v>
      </c>
      <c r="Q273" s="877">
        <f>K273+N273+P273</f>
        <v>844289.842008429</v>
      </c>
      <c r="S273" s="586"/>
    </row>
    <row r="274" spans="1:19" s="66" customFormat="1" ht="15">
      <c r="A274" s="113" t="s">
        <v>447</v>
      </c>
      <c r="B274" s="896" t="s">
        <v>807</v>
      </c>
      <c r="C274" s="44">
        <f>C273*0.3/10</f>
        <v>361.9248380484375</v>
      </c>
      <c r="D274" s="44">
        <f aca="true" t="shared" si="132" ref="D274:J274">D273*0.3/10</f>
        <v>1818.4981755353426</v>
      </c>
      <c r="E274" s="44">
        <f t="shared" si="132"/>
        <v>1291.4564909909388</v>
      </c>
      <c r="F274" s="44">
        <f t="shared" si="132"/>
        <v>742.6816580153012</v>
      </c>
      <c r="G274" s="44">
        <f t="shared" si="132"/>
        <v>188.2939235888463</v>
      </c>
      <c r="H274" s="44">
        <f t="shared" si="132"/>
        <v>2136.517403472554</v>
      </c>
      <c r="I274" s="44">
        <f t="shared" si="132"/>
        <v>6539.37248965142</v>
      </c>
      <c r="J274" s="44">
        <f t="shared" si="132"/>
        <v>260.8200727487051</v>
      </c>
      <c r="K274" s="44">
        <f>K273*0.3/10</f>
        <v>6800.192562400125</v>
      </c>
      <c r="L274" s="44">
        <f>L273*0.3/10</f>
        <v>351.63982487729686</v>
      </c>
      <c r="M274" s="44">
        <f>M273*0.3/10</f>
        <v>70.32796497545937</v>
      </c>
      <c r="N274" s="44">
        <f>N273*0.3/10</f>
        <v>421.96778985275625</v>
      </c>
      <c r="O274" s="897"/>
      <c r="P274" s="753">
        <f>P273*0.3/10</f>
        <v>18106.534907999987</v>
      </c>
      <c r="Q274" s="877">
        <f aca="true" t="shared" si="133" ref="Q274:Q279">K274+N274+P274</f>
        <v>25328.69526025287</v>
      </c>
      <c r="R274" s="84"/>
      <c r="S274" s="898"/>
    </row>
    <row r="275" spans="1:19" s="66" customFormat="1" ht="15">
      <c r="A275" s="113" t="s">
        <v>448</v>
      </c>
      <c r="B275" s="896" t="s">
        <v>808</v>
      </c>
      <c r="C275" s="44">
        <f>C273*0.7/10</f>
        <v>844.4912887796875</v>
      </c>
      <c r="D275" s="44">
        <f aca="true" t="shared" si="134" ref="D275:J275">D273*0.7/10</f>
        <v>4243.162409582465</v>
      </c>
      <c r="E275" s="44">
        <f t="shared" si="134"/>
        <v>3013.3984789788574</v>
      </c>
      <c r="F275" s="44">
        <f t="shared" si="134"/>
        <v>1732.9238687023694</v>
      </c>
      <c r="G275" s="44">
        <f t="shared" si="134"/>
        <v>439.35248837397467</v>
      </c>
      <c r="H275" s="44">
        <f t="shared" si="134"/>
        <v>4985.207274769293</v>
      </c>
      <c r="I275" s="44">
        <f t="shared" si="134"/>
        <v>15258.535809186647</v>
      </c>
      <c r="J275" s="44">
        <f t="shared" si="134"/>
        <v>608.5801697469785</v>
      </c>
      <c r="K275" s="44">
        <f>K273*0.7/10</f>
        <v>15867.115978933623</v>
      </c>
      <c r="L275" s="44">
        <f>L273*0.7/10</f>
        <v>820.4929247136927</v>
      </c>
      <c r="M275" s="44">
        <f>M273*0.7/10</f>
        <v>164.09858494273854</v>
      </c>
      <c r="N275" s="44">
        <f>N273*0.7/10</f>
        <v>984.5915096564313</v>
      </c>
      <c r="O275" s="897"/>
      <c r="P275" s="753">
        <f>P273*0.7/10</f>
        <v>42248.58145199997</v>
      </c>
      <c r="Q275" s="877">
        <f t="shared" si="133"/>
        <v>59100.28894059002</v>
      </c>
      <c r="R275" s="84"/>
      <c r="S275" s="899"/>
    </row>
    <row r="276" spans="1:19" s="168" customFormat="1" ht="15.75">
      <c r="A276" s="831" t="s">
        <v>225</v>
      </c>
      <c r="B276" s="886" t="s">
        <v>809</v>
      </c>
      <c r="C276" s="584">
        <f aca="true" t="shared" si="135" ref="C276:H276">C273-C270</f>
        <v>27144.36285363281</v>
      </c>
      <c r="D276" s="584">
        <f t="shared" si="135"/>
        <v>101027.67641863014</v>
      </c>
      <c r="E276" s="584">
        <f t="shared" si="135"/>
        <v>71747.58283282994</v>
      </c>
      <c r="F276" s="584">
        <f t="shared" si="135"/>
        <v>14853.633160306024</v>
      </c>
      <c r="G276" s="584">
        <f t="shared" si="135"/>
        <v>10460.773532713683</v>
      </c>
      <c r="H276" s="584">
        <f t="shared" si="135"/>
        <v>118695.41130403079</v>
      </c>
      <c r="I276" s="584">
        <f>SUM(C276:H276)</f>
        <v>343929.4401021434</v>
      </c>
      <c r="J276" s="584">
        <f>J273-J270</f>
        <v>14490.00404159473</v>
      </c>
      <c r="K276" s="876">
        <f t="shared" si="127"/>
        <v>358419.44414373813</v>
      </c>
      <c r="L276" s="887">
        <f>L273-L270</f>
        <v>19535.545826516493</v>
      </c>
      <c r="M276" s="584">
        <f>M273-M270</f>
        <v>3907.1091653032986</v>
      </c>
      <c r="N276" s="584">
        <f t="shared" si="128"/>
        <v>23442.654991819792</v>
      </c>
      <c r="O276" s="895"/>
      <c r="P276" s="889">
        <f>P273-P270</f>
        <v>1810653.4907999989</v>
      </c>
      <c r="Q276" s="877">
        <f t="shared" si="133"/>
        <v>2192515.589935557</v>
      </c>
      <c r="S276" s="586"/>
    </row>
    <row r="277" spans="1:18" s="66" customFormat="1" ht="15">
      <c r="A277" s="113" t="s">
        <v>478</v>
      </c>
      <c r="B277" s="896" t="s">
        <v>810</v>
      </c>
      <c r="C277" s="44">
        <f aca="true" t="shared" si="136" ref="C277:H277">C276/10</f>
        <v>2714.436285363281</v>
      </c>
      <c r="D277" s="44">
        <f t="shared" si="136"/>
        <v>10102.767641863014</v>
      </c>
      <c r="E277" s="44">
        <f t="shared" si="136"/>
        <v>7174.758283282994</v>
      </c>
      <c r="F277" s="44">
        <f t="shared" si="136"/>
        <v>1485.3633160306024</v>
      </c>
      <c r="G277" s="44">
        <f t="shared" si="136"/>
        <v>1046.0773532713683</v>
      </c>
      <c r="H277" s="44">
        <f t="shared" si="136"/>
        <v>11869.541130403079</v>
      </c>
      <c r="I277" s="900">
        <f>SUM(C277:H277)</f>
        <v>34392.94401021434</v>
      </c>
      <c r="J277" s="44">
        <f>J276/10</f>
        <v>1449.000404159473</v>
      </c>
      <c r="K277" s="901">
        <f t="shared" si="127"/>
        <v>35841.944414373815</v>
      </c>
      <c r="L277" s="902">
        <f>L276/10</f>
        <v>1953.5545826516493</v>
      </c>
      <c r="M277" s="44">
        <f>M276/10</f>
        <v>390.7109165303299</v>
      </c>
      <c r="N277" s="752">
        <f t="shared" si="128"/>
        <v>2344.265499181979</v>
      </c>
      <c r="O277" s="897"/>
      <c r="P277" s="753">
        <f>P276/10</f>
        <v>181065.3490799999</v>
      </c>
      <c r="Q277" s="877">
        <f t="shared" si="133"/>
        <v>219251.5589935557</v>
      </c>
      <c r="R277" s="84"/>
    </row>
    <row r="278" spans="1:21" s="123" customFormat="1" ht="15">
      <c r="A278" s="874" t="s">
        <v>479</v>
      </c>
      <c r="B278" s="882" t="s">
        <v>811</v>
      </c>
      <c r="C278" s="487">
        <f aca="true" t="shared" si="137" ref="C278:L278">0.1*C277</f>
        <v>271.4436285363281</v>
      </c>
      <c r="D278" s="487">
        <f t="shared" si="137"/>
        <v>1010.2767641863015</v>
      </c>
      <c r="E278" s="487">
        <f t="shared" si="137"/>
        <v>717.4758283282995</v>
      </c>
      <c r="F278" s="487">
        <f t="shared" si="137"/>
        <v>148.53633160306023</v>
      </c>
      <c r="G278" s="487">
        <f t="shared" si="137"/>
        <v>104.60773532713684</v>
      </c>
      <c r="H278" s="487">
        <f t="shared" si="137"/>
        <v>1186.954113040308</v>
      </c>
      <c r="I278" s="249">
        <f t="shared" si="137"/>
        <v>3439.294401021434</v>
      </c>
      <c r="J278" s="487">
        <f t="shared" si="137"/>
        <v>144.9000404159473</v>
      </c>
      <c r="K278" s="186">
        <f t="shared" si="127"/>
        <v>3584.1944414373816</v>
      </c>
      <c r="L278" s="883">
        <f t="shared" si="137"/>
        <v>195.35545826516494</v>
      </c>
      <c r="M278" s="487">
        <f>0.1*M277</f>
        <v>39.071091653032994</v>
      </c>
      <c r="N278" s="884">
        <f t="shared" si="128"/>
        <v>234.42654991819794</v>
      </c>
      <c r="O278" s="460"/>
      <c r="P278" s="885">
        <f>0.1*P277</f>
        <v>18106.53490799999</v>
      </c>
      <c r="Q278" s="431">
        <f t="shared" si="133"/>
        <v>21925.15589935557</v>
      </c>
      <c r="R278" s="124"/>
      <c r="S278" s="124"/>
      <c r="T278" s="124"/>
      <c r="U278" s="124"/>
    </row>
    <row r="279" spans="1:19" s="169" customFormat="1" ht="15.75">
      <c r="A279" s="615" t="s">
        <v>226</v>
      </c>
      <c r="B279" s="574" t="s">
        <v>812</v>
      </c>
      <c r="C279" s="410">
        <f aca="true" t="shared" si="138" ref="C279:L279">C277-C278</f>
        <v>2442.992656826953</v>
      </c>
      <c r="D279" s="410">
        <f t="shared" si="138"/>
        <v>9092.490877676713</v>
      </c>
      <c r="E279" s="410">
        <f t="shared" si="138"/>
        <v>6457.282454954695</v>
      </c>
      <c r="F279" s="410">
        <f t="shared" si="138"/>
        <v>1336.8269844275421</v>
      </c>
      <c r="G279" s="410">
        <f t="shared" si="138"/>
        <v>941.4696179442315</v>
      </c>
      <c r="H279" s="410">
        <f t="shared" si="138"/>
        <v>10682.58701736277</v>
      </c>
      <c r="I279" s="410">
        <f>SUM(C279:H279)</f>
        <v>30953.649609192908</v>
      </c>
      <c r="J279" s="410">
        <f t="shared" si="138"/>
        <v>1304.1003637435256</v>
      </c>
      <c r="K279" s="593">
        <f t="shared" si="127"/>
        <v>32257.74997293643</v>
      </c>
      <c r="L279" s="414">
        <f t="shared" si="138"/>
        <v>1758.1991243864843</v>
      </c>
      <c r="M279" s="410">
        <f>M277-M278</f>
        <v>351.63982487729686</v>
      </c>
      <c r="N279" s="410">
        <f t="shared" si="128"/>
        <v>2109.838949263781</v>
      </c>
      <c r="O279" s="415"/>
      <c r="P279" s="417">
        <f>P277-P278</f>
        <v>162958.8141719999</v>
      </c>
      <c r="Q279" s="431">
        <f t="shared" si="133"/>
        <v>197326.40309420013</v>
      </c>
      <c r="R279" s="168"/>
      <c r="S279" s="586"/>
    </row>
    <row r="280" spans="1:19" s="846" customFormat="1" ht="16.5" thickBot="1">
      <c r="A280" s="838" t="s">
        <v>562</v>
      </c>
      <c r="B280" s="847" t="s">
        <v>697</v>
      </c>
      <c r="C280" s="839">
        <f>C279/C268%</f>
        <v>3.691854859385625</v>
      </c>
      <c r="D280" s="839">
        <f>D279/D268%</f>
        <v>3.6285780499946974</v>
      </c>
      <c r="E280" s="839">
        <f>E279/E268%</f>
        <v>2.3666052611158865</v>
      </c>
      <c r="F280" s="839">
        <f>F279/F268%</f>
        <v>0.381460118255826</v>
      </c>
      <c r="G280" s="839">
        <f>G279/G268%</f>
        <v>1.1369032942207842</v>
      </c>
      <c r="H280" s="839">
        <f>H277/10/H273%</f>
        <v>1.6666666666666665</v>
      </c>
      <c r="I280" s="840">
        <f>I277/10/I273%</f>
        <v>1.577809372289526</v>
      </c>
      <c r="J280" s="839">
        <f>J277/10/J273%</f>
        <v>1.6666666666666667</v>
      </c>
      <c r="K280" s="841">
        <f>K277/10/K273%</f>
        <v>1.5812174766587823</v>
      </c>
      <c r="L280" s="842">
        <f>L279/L268%</f>
        <v>14.613663843893244</v>
      </c>
      <c r="M280" s="843">
        <f>M279/M268%</f>
        <v>14.613663843893242</v>
      </c>
      <c r="N280" s="843">
        <f>N279/N268%</f>
        <v>14.613663843893242</v>
      </c>
      <c r="O280" s="844"/>
      <c r="P280" s="871">
        <f>P279/P268%</f>
        <v>1.187999999999999</v>
      </c>
      <c r="Q280" s="845">
        <f>Q279/Q268%</f>
        <v>1.3096133502381975</v>
      </c>
      <c r="R280" s="804"/>
      <c r="S280" s="804"/>
    </row>
    <row r="281" spans="1:19" ht="17.25" customHeight="1" thickBot="1">
      <c r="A281" s="22"/>
      <c r="B281" s="5"/>
      <c r="C281" s="6"/>
      <c r="D281" s="6"/>
      <c r="E281" s="6"/>
      <c r="F281" s="6"/>
      <c r="G281" s="6"/>
      <c r="H281" s="6"/>
      <c r="I281" s="136"/>
      <c r="J281" s="6"/>
      <c r="K281" s="135"/>
      <c r="L281" s="6"/>
      <c r="M281" s="6"/>
      <c r="N281" s="6"/>
      <c r="O281" s="3"/>
      <c r="P281" s="3"/>
      <c r="Q281" s="8"/>
      <c r="R281" s="86"/>
      <c r="S281" s="7"/>
    </row>
    <row r="282" spans="1:17" s="296" customFormat="1" ht="15" customHeight="1">
      <c r="A282" s="1036" t="s">
        <v>813</v>
      </c>
      <c r="B282" s="1037"/>
      <c r="C282" s="1046" t="s">
        <v>35</v>
      </c>
      <c r="D282" s="1046"/>
      <c r="E282" s="1046"/>
      <c r="F282" s="1046"/>
      <c r="G282" s="1046"/>
      <c r="H282" s="1046"/>
      <c r="I282" s="1046"/>
      <c r="J282" s="1046"/>
      <c r="K282" s="1048" t="s">
        <v>295</v>
      </c>
      <c r="L282" s="1055" t="s">
        <v>0</v>
      </c>
      <c r="M282" s="1046"/>
      <c r="N282" s="1046"/>
      <c r="O282" s="1046"/>
      <c r="P282" s="405" t="s">
        <v>2</v>
      </c>
      <c r="Q282" s="1053" t="s">
        <v>329</v>
      </c>
    </row>
    <row r="283" spans="1:23" s="403" customFormat="1" ht="60" customHeight="1">
      <c r="A283" s="1038"/>
      <c r="B283" s="1039"/>
      <c r="C283" s="704" t="s">
        <v>149</v>
      </c>
      <c r="D283" s="140" t="s">
        <v>150</v>
      </c>
      <c r="E283" s="140" t="s">
        <v>153</v>
      </c>
      <c r="F283" s="140" t="s">
        <v>151</v>
      </c>
      <c r="G283" s="140" t="s">
        <v>152</v>
      </c>
      <c r="H283" s="140" t="s">
        <v>32</v>
      </c>
      <c r="I283" s="322" t="s">
        <v>330</v>
      </c>
      <c r="J283" s="140" t="s">
        <v>60</v>
      </c>
      <c r="K283" s="1049"/>
      <c r="L283" s="673" t="s">
        <v>293</v>
      </c>
      <c r="M283" s="674" t="s">
        <v>291</v>
      </c>
      <c r="N283" s="675" t="s">
        <v>297</v>
      </c>
      <c r="O283" s="398" t="s">
        <v>495</v>
      </c>
      <c r="P283" s="400" t="s">
        <v>495</v>
      </c>
      <c r="Q283" s="1054"/>
      <c r="S283" s="570"/>
      <c r="T283" s="570"/>
      <c r="U283" s="570"/>
      <c r="V283" s="570"/>
      <c r="W283" s="570"/>
    </row>
    <row r="284" spans="1:28" s="32" customFormat="1" ht="15" customHeight="1">
      <c r="A284" s="295" t="str">
        <f>A279</f>
        <v>F9</v>
      </c>
      <c r="B284" s="287" t="str">
        <f>B279</f>
        <v>Territorial Ecosystem Capital Degradation (TECD), mean annual amount ~1995-~2005,  in 10^3 EPUE [F8-F10]</v>
      </c>
      <c r="C284" s="489">
        <f aca="true" t="shared" si="139" ref="C284:H284">C279*1000</f>
        <v>2442992.656826953</v>
      </c>
      <c r="D284" s="489">
        <f t="shared" si="139"/>
        <v>9092490.877676714</v>
      </c>
      <c r="E284" s="489">
        <f t="shared" si="139"/>
        <v>6457282.454954695</v>
      </c>
      <c r="F284" s="489">
        <f t="shared" si="139"/>
        <v>1336826.9844275422</v>
      </c>
      <c r="G284" s="489">
        <f t="shared" si="139"/>
        <v>941469.6179442315</v>
      </c>
      <c r="H284" s="489">
        <f t="shared" si="139"/>
        <v>10682587.01736277</v>
      </c>
      <c r="I284" s="132">
        <f>SUM(C284:H284)</f>
        <v>30953649.609192904</v>
      </c>
      <c r="J284" s="132">
        <f>J279*1000</f>
        <v>1304100.3637435255</v>
      </c>
      <c r="K284" s="172">
        <f>J284+I284</f>
        <v>32257749.97293643</v>
      </c>
      <c r="L284" s="328">
        <f>L279*1000</f>
        <v>1758199.1243864843</v>
      </c>
      <c r="M284" s="132">
        <f>M279*1000</f>
        <v>351639.82487729687</v>
      </c>
      <c r="N284" s="132">
        <f>L284+M284</f>
        <v>2109838.9492637813</v>
      </c>
      <c r="O284" s="298"/>
      <c r="P284" s="431">
        <f>P279*1000</f>
        <v>162958814.1719999</v>
      </c>
      <c r="Q284" s="431">
        <f>K284+N284+P284</f>
        <v>197326403.0942001</v>
      </c>
      <c r="R284" s="82"/>
      <c r="S284" s="5"/>
      <c r="T284" s="571"/>
      <c r="U284" s="6"/>
      <c r="V284" s="5"/>
      <c r="W284" s="572"/>
      <c r="X284" s="448"/>
      <c r="Y284" s="448"/>
      <c r="Z284" s="448"/>
      <c r="AA284" s="134"/>
      <c r="AB284" s="134"/>
    </row>
    <row r="285" spans="1:27" s="32" customFormat="1" ht="15" customHeight="1">
      <c r="A285" s="295" t="s">
        <v>331</v>
      </c>
      <c r="B285" s="287" t="s">
        <v>707</v>
      </c>
      <c r="C285" s="132"/>
      <c r="D285" s="489"/>
      <c r="E285" s="489"/>
      <c r="F285" s="489"/>
      <c r="G285" s="489"/>
      <c r="H285" s="489"/>
      <c r="I285" s="132"/>
      <c r="J285" s="132"/>
      <c r="K285" s="172"/>
      <c r="L285" s="328"/>
      <c r="M285" s="132"/>
      <c r="N285" s="132"/>
      <c r="O285" s="298"/>
      <c r="P285" s="431"/>
      <c r="Q285" s="431"/>
      <c r="R285" s="82"/>
      <c r="S285" s="5"/>
      <c r="T285" s="571"/>
      <c r="U285" s="6"/>
      <c r="V285" s="5"/>
      <c r="W285" s="572"/>
      <c r="X285" s="448"/>
      <c r="Y285" s="448"/>
      <c r="Z285" s="448"/>
      <c r="AA285" s="134"/>
    </row>
    <row r="286" spans="1:17" s="93" customFormat="1" ht="15" customHeight="1">
      <c r="A286" s="428" t="s">
        <v>713</v>
      </c>
      <c r="B286" s="92" t="s">
        <v>111</v>
      </c>
      <c r="C286" s="747">
        <f>$C$284*0.15</f>
        <v>366448.8985240429</v>
      </c>
      <c r="D286" s="4">
        <f>D$284*0.1</f>
        <v>909249.0877676714</v>
      </c>
      <c r="E286" s="4">
        <f>E284*0.2</f>
        <v>1291456.490990939</v>
      </c>
      <c r="F286" s="5"/>
      <c r="G286" s="4"/>
      <c r="H286" s="4">
        <f>H284*0.3</f>
        <v>3204776.105208831</v>
      </c>
      <c r="I286" s="132">
        <f>SUM(C286:H286)</f>
        <v>5771930.5824914845</v>
      </c>
      <c r="J286" s="4"/>
      <c r="K286" s="408">
        <f>J286+I286</f>
        <v>5771930.5824914845</v>
      </c>
      <c r="L286" s="327"/>
      <c r="M286" s="4"/>
      <c r="N286" s="132"/>
      <c r="O286" s="568"/>
      <c r="P286" s="399"/>
      <c r="Q286" s="755">
        <f>K286+N286+P286</f>
        <v>5771930.5824914845</v>
      </c>
    </row>
    <row r="287" spans="1:27" ht="15" customHeight="1">
      <c r="A287" s="428" t="s">
        <v>714</v>
      </c>
      <c r="B287" s="749" t="s">
        <v>104</v>
      </c>
      <c r="C287" s="171">
        <f>$C$284*0.1</f>
        <v>244299.26568269532</v>
      </c>
      <c r="D287" s="10">
        <f>D$284*0.2</f>
        <v>1818498.175535343</v>
      </c>
      <c r="E287" s="10">
        <f>E$284*0.1</f>
        <v>645728.2454954695</v>
      </c>
      <c r="F287" s="10">
        <f>F$284*0.05</f>
        <v>66841.34922137711</v>
      </c>
      <c r="G287" s="10">
        <f>G$284*0.4</f>
        <v>376587.84717769263</v>
      </c>
      <c r="H287" s="10">
        <f>H$284*0.4</f>
        <v>4273034.806945108</v>
      </c>
      <c r="I287" s="132">
        <f>SUM(C287:H287)</f>
        <v>7424989.690057686</v>
      </c>
      <c r="J287" s="4"/>
      <c r="K287" s="408">
        <f>J287+I287</f>
        <v>7424989.690057686</v>
      </c>
      <c r="L287" s="327"/>
      <c r="M287" s="4"/>
      <c r="N287" s="132"/>
      <c r="O287" s="568"/>
      <c r="P287" s="399"/>
      <c r="Q287" s="755">
        <f>K287+N287+P287</f>
        <v>7424989.690057686</v>
      </c>
      <c r="R287" s="7"/>
      <c r="S287" s="5"/>
      <c r="T287" s="5"/>
      <c r="U287" s="5"/>
      <c r="V287" s="5"/>
      <c r="W287" s="5"/>
      <c r="X287" s="7"/>
      <c r="Y287" s="7"/>
      <c r="Z287" s="7"/>
      <c r="AA287" s="7"/>
    </row>
    <row r="288" spans="1:17" s="93" customFormat="1" ht="15" customHeight="1">
      <c r="A288" s="428" t="s">
        <v>715</v>
      </c>
      <c r="B288" s="92" t="s">
        <v>103</v>
      </c>
      <c r="C288" s="747">
        <f>C284*0.1</f>
        <v>244299.26568269532</v>
      </c>
      <c r="D288" s="4">
        <f>D$284*0.1</f>
        <v>909249.0877676714</v>
      </c>
      <c r="E288" s="4">
        <f>E284*0.1</f>
        <v>645728.2454954695</v>
      </c>
      <c r="F288" s="4">
        <f>F284*0.1</f>
        <v>133682.69844275422</v>
      </c>
      <c r="G288" s="4"/>
      <c r="H288" s="4">
        <f>H284*0.1</f>
        <v>1068258.701736277</v>
      </c>
      <c r="I288" s="132">
        <f>SUM(C288:H288)</f>
        <v>3001217.9991248674</v>
      </c>
      <c r="J288" s="4"/>
      <c r="K288" s="408">
        <f>J288+I288</f>
        <v>3001217.9991248674</v>
      </c>
      <c r="L288" s="327"/>
      <c r="M288" s="4"/>
      <c r="N288" s="132"/>
      <c r="O288" s="568"/>
      <c r="P288" s="399"/>
      <c r="Q288" s="755">
        <f>K288+N288+P288</f>
        <v>3001217.9991248674</v>
      </c>
    </row>
    <row r="289" spans="1:17" s="93" customFormat="1" ht="15" customHeight="1">
      <c r="A289" s="428" t="s">
        <v>726</v>
      </c>
      <c r="B289" s="92" t="s">
        <v>727</v>
      </c>
      <c r="C289" s="747"/>
      <c r="D289" s="747"/>
      <c r="E289" s="747"/>
      <c r="F289" s="747"/>
      <c r="G289" s="747"/>
      <c r="H289" s="747"/>
      <c r="I289" s="132"/>
      <c r="J289" s="4"/>
      <c r="K289" s="408"/>
      <c r="L289" s="327"/>
      <c r="M289" s="4"/>
      <c r="N289" s="132"/>
      <c r="O289" s="568"/>
      <c r="P289" s="399"/>
      <c r="Q289" s="755"/>
    </row>
    <row r="290" spans="1:27" s="32" customFormat="1" ht="15" customHeight="1">
      <c r="A290" s="295" t="s">
        <v>332</v>
      </c>
      <c r="B290" s="287" t="s">
        <v>708</v>
      </c>
      <c r="C290" s="132">
        <f>$C$284*0.1</f>
        <v>244299.26568269532</v>
      </c>
      <c r="D290" s="489">
        <f>D$284*0.15</f>
        <v>1363873.631651507</v>
      </c>
      <c r="E290" s="489">
        <f>E284*0.2</f>
        <v>1291456.490990939</v>
      </c>
      <c r="F290" s="489"/>
      <c r="G290" s="489">
        <f>G284*0.4</f>
        <v>376587.84717769263</v>
      </c>
      <c r="H290" s="489"/>
      <c r="I290" s="132">
        <f>SUM(C290:H290)</f>
        <v>3276217.235502834</v>
      </c>
      <c r="J290" s="132">
        <f>J279*0.8*1000</f>
        <v>1043280.2909948204</v>
      </c>
      <c r="K290" s="172">
        <f>J290+I290</f>
        <v>4319497.526497655</v>
      </c>
      <c r="L290" s="328"/>
      <c r="M290" s="132"/>
      <c r="N290" s="132"/>
      <c r="O290" s="298"/>
      <c r="P290" s="431"/>
      <c r="Q290" s="431">
        <f>K290+N290+P290</f>
        <v>4319497.526497655</v>
      </c>
      <c r="R290" s="82"/>
      <c r="S290" s="5"/>
      <c r="T290" s="571"/>
      <c r="U290" s="6"/>
      <c r="V290" s="5"/>
      <c r="W290" s="572"/>
      <c r="X290" s="448"/>
      <c r="Y290" s="448"/>
      <c r="Z290" s="448"/>
      <c r="AA290" s="134"/>
    </row>
    <row r="291" spans="1:27" s="32" customFormat="1" ht="15" customHeight="1">
      <c r="A291" s="295" t="s">
        <v>333</v>
      </c>
      <c r="B291" s="287" t="s">
        <v>711</v>
      </c>
      <c r="C291" s="132"/>
      <c r="D291" s="489"/>
      <c r="E291" s="489"/>
      <c r="F291" s="489"/>
      <c r="G291" s="489"/>
      <c r="H291" s="489"/>
      <c r="I291" s="132"/>
      <c r="J291" s="132"/>
      <c r="K291" s="172"/>
      <c r="L291" s="328"/>
      <c r="M291" s="132"/>
      <c r="N291" s="132"/>
      <c r="O291" s="298"/>
      <c r="P291" s="431"/>
      <c r="Q291" s="431"/>
      <c r="R291" s="82"/>
      <c r="S291" s="5"/>
      <c r="T291" s="571"/>
      <c r="U291" s="6"/>
      <c r="V291" s="5"/>
      <c r="W291" s="572"/>
      <c r="X291" s="448"/>
      <c r="Y291" s="448"/>
      <c r="Z291" s="448"/>
      <c r="AA291" s="134"/>
    </row>
    <row r="292" spans="1:27" ht="15" customHeight="1">
      <c r="A292" s="428" t="s">
        <v>717</v>
      </c>
      <c r="B292" s="92" t="s">
        <v>709</v>
      </c>
      <c r="C292" s="92"/>
      <c r="D292" s="747">
        <f>D$284*0.25</f>
        <v>2273122.7194191786</v>
      </c>
      <c r="E292" s="9">
        <f>0.1*E284</f>
        <v>645728.2454954695</v>
      </c>
      <c r="F292" s="9"/>
      <c r="G292" s="9"/>
      <c r="H292" s="9">
        <f>$H$284*0.1</f>
        <v>1068258.701736277</v>
      </c>
      <c r="I292" s="132">
        <f>SUM(C292:H292)</f>
        <v>3987109.666650925</v>
      </c>
      <c r="J292" s="4"/>
      <c r="K292" s="408">
        <f>J292+I292</f>
        <v>3987109.666650925</v>
      </c>
      <c r="L292" s="327"/>
      <c r="M292" s="4"/>
      <c r="N292" s="132"/>
      <c r="O292" s="568"/>
      <c r="P292" s="399"/>
      <c r="Q292" s="755">
        <f>K292+N292+P292</f>
        <v>3987109.666650925</v>
      </c>
      <c r="R292" s="7"/>
      <c r="S292" s="5"/>
      <c r="T292" s="5"/>
      <c r="U292" s="5"/>
      <c r="V292" s="5"/>
      <c r="W292" s="5"/>
      <c r="X292" s="7"/>
      <c r="Y292" s="7"/>
      <c r="Z292" s="7"/>
      <c r="AA292" s="7"/>
    </row>
    <row r="293" spans="1:27" ht="15" customHeight="1">
      <c r="A293" s="428" t="s">
        <v>718</v>
      </c>
      <c r="B293" s="92" t="s">
        <v>108</v>
      </c>
      <c r="C293" s="171"/>
      <c r="D293" s="10"/>
      <c r="E293" s="4">
        <f>E$284*0.05</f>
        <v>322864.1227477348</v>
      </c>
      <c r="F293" s="10">
        <f>$F$284*0.6</f>
        <v>802096.1906565253</v>
      </c>
      <c r="G293" s="4"/>
      <c r="H293" s="4"/>
      <c r="I293" s="132">
        <f>SUM(C293:H293)</f>
        <v>1124960.3134042602</v>
      </c>
      <c r="J293" s="4"/>
      <c r="K293" s="408">
        <f>J293+I293</f>
        <v>1124960.3134042602</v>
      </c>
      <c r="L293" s="327"/>
      <c r="M293" s="4"/>
      <c r="N293" s="132"/>
      <c r="O293" s="568"/>
      <c r="P293" s="399"/>
      <c r="Q293" s="755">
        <f>K293+N293+P293</f>
        <v>1124960.3134042602</v>
      </c>
      <c r="R293" s="7"/>
      <c r="S293" s="5"/>
      <c r="T293" s="5"/>
      <c r="U293" s="5"/>
      <c r="V293" s="5"/>
      <c r="W293" s="5"/>
      <c r="X293" s="7"/>
      <c r="Y293" s="7"/>
      <c r="Z293" s="7"/>
      <c r="AA293" s="7"/>
    </row>
    <row r="294" spans="1:26" s="93" customFormat="1" ht="15" customHeight="1">
      <c r="A294" s="428" t="s">
        <v>719</v>
      </c>
      <c r="B294" s="36" t="s">
        <v>114</v>
      </c>
      <c r="C294" s="747"/>
      <c r="D294" s="4"/>
      <c r="E294" s="4"/>
      <c r="F294" s="10"/>
      <c r="G294" s="9"/>
      <c r="H294" s="4"/>
      <c r="I294" s="132"/>
      <c r="J294" s="4">
        <f>J284-J290</f>
        <v>260820.07274870505</v>
      </c>
      <c r="K294" s="408">
        <f>J294+I294</f>
        <v>260820.07274870505</v>
      </c>
      <c r="L294" s="327">
        <f>L284</f>
        <v>1758199.1243864843</v>
      </c>
      <c r="M294" s="4">
        <f>M284</f>
        <v>351639.82487729687</v>
      </c>
      <c r="N294" s="132">
        <f>L294+M294</f>
        <v>2109838.9492637813</v>
      </c>
      <c r="O294" s="568"/>
      <c r="P294" s="399"/>
      <c r="Q294" s="755">
        <f>K294+N294+P294</f>
        <v>2370659.022012486</v>
      </c>
      <c r="R294" s="86"/>
      <c r="W294" s="35"/>
      <c r="X294" s="35"/>
      <c r="Y294" s="35"/>
      <c r="Z294" s="35"/>
    </row>
    <row r="295" spans="1:26" s="93" customFormat="1" ht="15" customHeight="1">
      <c r="A295" s="428" t="s">
        <v>720</v>
      </c>
      <c r="B295" s="36" t="s">
        <v>710</v>
      </c>
      <c r="C295" s="6"/>
      <c r="D295" s="4"/>
      <c r="E295" s="4"/>
      <c r="F295" s="10"/>
      <c r="G295" s="9"/>
      <c r="H295" s="4"/>
      <c r="I295" s="132"/>
      <c r="J295" s="4"/>
      <c r="K295" s="408"/>
      <c r="L295" s="327"/>
      <c r="M295" s="4"/>
      <c r="N295" s="132"/>
      <c r="O295" s="568"/>
      <c r="P295" s="399"/>
      <c r="Q295" s="755"/>
      <c r="R295" s="86"/>
      <c r="W295" s="35"/>
      <c r="X295" s="35"/>
      <c r="Y295" s="35"/>
      <c r="Z295" s="35"/>
    </row>
    <row r="296" spans="1:27" s="32" customFormat="1" ht="15" customHeight="1">
      <c r="A296" s="295" t="s">
        <v>334</v>
      </c>
      <c r="B296" s="287" t="s">
        <v>712</v>
      </c>
      <c r="C296" s="132"/>
      <c r="D296" s="489"/>
      <c r="E296" s="489"/>
      <c r="F296" s="489"/>
      <c r="G296" s="489"/>
      <c r="H296" s="489"/>
      <c r="I296" s="132"/>
      <c r="J296" s="132"/>
      <c r="K296" s="172"/>
      <c r="L296" s="328"/>
      <c r="M296" s="132"/>
      <c r="N296" s="132"/>
      <c r="O296" s="298"/>
      <c r="P296" s="431"/>
      <c r="Q296" s="431"/>
      <c r="R296" s="82"/>
      <c r="S296" s="5"/>
      <c r="T296" s="571"/>
      <c r="U296" s="6"/>
      <c r="V296" s="5"/>
      <c r="W296" s="572"/>
      <c r="X296" s="448"/>
      <c r="Y296" s="448"/>
      <c r="Z296" s="448"/>
      <c r="AA296" s="134"/>
    </row>
    <row r="297" spans="1:27" ht="15" customHeight="1">
      <c r="A297" s="428" t="s">
        <v>721</v>
      </c>
      <c r="B297" s="36" t="s">
        <v>106</v>
      </c>
      <c r="C297" s="5"/>
      <c r="D297" s="4">
        <f>D$284*0.05</f>
        <v>454624.5438838357</v>
      </c>
      <c r="E297" s="4">
        <f>E$284*0.1</f>
        <v>645728.2454954695</v>
      </c>
      <c r="F297" s="10">
        <f>F$284*0.02</f>
        <v>26736.539688550845</v>
      </c>
      <c r="G297" s="4"/>
      <c r="H297" s="4"/>
      <c r="I297" s="132">
        <f>SUM(C297:H297)</f>
        <v>1127089.329067856</v>
      </c>
      <c r="J297" s="4"/>
      <c r="K297" s="408">
        <f>J297+I297</f>
        <v>1127089.329067856</v>
      </c>
      <c r="L297" s="327"/>
      <c r="M297" s="4"/>
      <c r="N297" s="132"/>
      <c r="O297" s="568"/>
      <c r="P297" s="399"/>
      <c r="Q297" s="755">
        <f>K297+N297+P297</f>
        <v>1127089.329067856</v>
      </c>
      <c r="R297" s="7"/>
      <c r="S297" s="7"/>
      <c r="T297" s="7"/>
      <c r="U297" s="7"/>
      <c r="X297" s="7"/>
      <c r="Y297" s="7"/>
      <c r="Z297" s="7"/>
      <c r="AA297" s="7"/>
    </row>
    <row r="298" spans="1:27" ht="15" customHeight="1">
      <c r="A298" s="428" t="s">
        <v>722</v>
      </c>
      <c r="B298" s="36" t="s">
        <v>107</v>
      </c>
      <c r="C298" s="747">
        <f>$C$284*0.25</f>
        <v>610748.1642067382</v>
      </c>
      <c r="D298" s="4"/>
      <c r="E298" s="4">
        <f>E$284*0.05</f>
        <v>322864.1227477348</v>
      </c>
      <c r="F298" s="4">
        <f>F284*0.1</f>
        <v>133682.69844275422</v>
      </c>
      <c r="G298" s="10">
        <f>$G$284*0.1</f>
        <v>94146.96179442316</v>
      </c>
      <c r="H298" s="9">
        <f>$H$284*0.1</f>
        <v>1068258.701736277</v>
      </c>
      <c r="I298" s="132">
        <f>SUM(C298:H298)</f>
        <v>2229700.648927927</v>
      </c>
      <c r="J298" s="4"/>
      <c r="K298" s="408">
        <f>J298+I298</f>
        <v>2229700.648927927</v>
      </c>
      <c r="L298" s="327"/>
      <c r="M298" s="4"/>
      <c r="N298" s="132"/>
      <c r="O298" s="568"/>
      <c r="P298" s="399"/>
      <c r="Q298" s="755">
        <f>K298+N298+P298</f>
        <v>2229700.648927927</v>
      </c>
      <c r="R298" s="7"/>
      <c r="S298" s="7"/>
      <c r="T298" s="7"/>
      <c r="U298" s="7"/>
      <c r="X298" s="7"/>
      <c r="Y298" s="7"/>
      <c r="Z298" s="7"/>
      <c r="AA298" s="7"/>
    </row>
    <row r="299" spans="1:27" ht="15" customHeight="1">
      <c r="A299" s="428" t="s">
        <v>723</v>
      </c>
      <c r="B299" s="750" t="s">
        <v>117</v>
      </c>
      <c r="C299" s="747">
        <f>$C$284*0.3</f>
        <v>732897.7970480858</v>
      </c>
      <c r="D299" s="4">
        <f>D$284*0.15</f>
        <v>1363873.631651507</v>
      </c>
      <c r="E299" s="4">
        <f>E$284*0.1</f>
        <v>645728.2454954695</v>
      </c>
      <c r="F299" s="10">
        <f>F$284*0.1</f>
        <v>133682.69844275422</v>
      </c>
      <c r="G299" s="5"/>
      <c r="H299" s="4"/>
      <c r="I299" s="132">
        <f>SUM(C299:H299)</f>
        <v>2876182.3726378167</v>
      </c>
      <c r="J299" s="4"/>
      <c r="K299" s="408">
        <f>J299+I299</f>
        <v>2876182.3726378167</v>
      </c>
      <c r="L299" s="327"/>
      <c r="M299" s="4"/>
      <c r="N299" s="132"/>
      <c r="O299" s="568"/>
      <c r="P299" s="399"/>
      <c r="Q299" s="755">
        <f>K299+N299+P299</f>
        <v>2876182.3726378167</v>
      </c>
      <c r="R299" s="7"/>
      <c r="S299" s="7"/>
      <c r="T299" s="7"/>
      <c r="U299" s="7"/>
      <c r="X299" s="7"/>
      <c r="Y299" s="7"/>
      <c r="Z299" s="7"/>
      <c r="AA299" s="7"/>
    </row>
    <row r="300" spans="1:27" ht="15" customHeight="1">
      <c r="A300" s="428" t="s">
        <v>724</v>
      </c>
      <c r="B300" s="36" t="s">
        <v>84</v>
      </c>
      <c r="C300" s="747"/>
      <c r="D300" s="4"/>
      <c r="E300" s="5"/>
      <c r="F300" s="10">
        <f>F$284*0.03</f>
        <v>40104.809532826264</v>
      </c>
      <c r="G300" s="10">
        <f>$G$284*0.1</f>
        <v>94146.96179442316</v>
      </c>
      <c r="H300" s="4"/>
      <c r="I300" s="132">
        <f>SUM(C300:H300)</f>
        <v>134251.77132724941</v>
      </c>
      <c r="J300" s="4"/>
      <c r="K300" s="408">
        <f>J300+I300</f>
        <v>134251.77132724941</v>
      </c>
      <c r="L300" s="327"/>
      <c r="M300" s="4"/>
      <c r="N300" s="132"/>
      <c r="O300" s="568"/>
      <c r="P300" s="399"/>
      <c r="Q300" s="755">
        <f>K300+N300+P300</f>
        <v>134251.77132724941</v>
      </c>
      <c r="R300" s="7"/>
      <c r="S300" s="7"/>
      <c r="T300" s="7"/>
      <c r="U300" s="7"/>
      <c r="X300" s="7"/>
      <c r="Y300" s="7"/>
      <c r="Z300" s="7"/>
      <c r="AA300" s="7"/>
    </row>
    <row r="301" spans="1:26" s="42" customFormat="1" ht="15.75" customHeight="1" thickBot="1">
      <c r="A301" s="429" t="s">
        <v>725</v>
      </c>
      <c r="B301" s="751" t="s">
        <v>113</v>
      </c>
      <c r="C301" s="748"/>
      <c r="D301" s="191"/>
      <c r="E301" s="191"/>
      <c r="F301" s="355"/>
      <c r="G301" s="356"/>
      <c r="H301" s="191"/>
      <c r="I301" s="270"/>
      <c r="J301" s="191"/>
      <c r="K301" s="409"/>
      <c r="L301" s="404"/>
      <c r="M301" s="191"/>
      <c r="N301" s="270"/>
      <c r="O301" s="569"/>
      <c r="P301" s="401">
        <f>P284</f>
        <v>162958814.1719999</v>
      </c>
      <c r="Q301" s="756">
        <f>K301+N301+P301</f>
        <v>162958814.1719999</v>
      </c>
      <c r="R301" s="86"/>
      <c r="S301" s="86"/>
      <c r="T301" s="12"/>
      <c r="W301" s="82"/>
      <c r="X301" s="82"/>
      <c r="Y301" s="82"/>
      <c r="Z301" s="82"/>
    </row>
    <row r="302" spans="1:21" ht="15.75" customHeight="1" thickBot="1">
      <c r="A302" s="22"/>
      <c r="B302" s="5"/>
      <c r="C302" s="6"/>
      <c r="D302" s="6"/>
      <c r="E302" s="6"/>
      <c r="F302" s="6"/>
      <c r="G302" s="6"/>
      <c r="H302" s="6"/>
      <c r="I302" s="136"/>
      <c r="J302" s="6"/>
      <c r="K302" s="135"/>
      <c r="L302" s="6"/>
      <c r="M302" s="6"/>
      <c r="N302" s="6"/>
      <c r="O302" s="3"/>
      <c r="P302" s="3"/>
      <c r="Q302" s="8"/>
      <c r="R302" s="86"/>
      <c r="S302" s="86"/>
      <c r="T302" s="86"/>
      <c r="U302" s="12"/>
    </row>
    <row r="303" spans="1:27" s="93" customFormat="1" ht="15" customHeight="1">
      <c r="A303" s="1036" t="s">
        <v>561</v>
      </c>
      <c r="B303" s="1037"/>
      <c r="C303" s="1075" t="s">
        <v>35</v>
      </c>
      <c r="D303" s="1075"/>
      <c r="E303" s="1075"/>
      <c r="F303" s="1075"/>
      <c r="G303" s="1075"/>
      <c r="H303" s="1075"/>
      <c r="I303" s="1075"/>
      <c r="J303" s="1075"/>
      <c r="K303" s="1076"/>
      <c r="L303" s="1046" t="s">
        <v>0</v>
      </c>
      <c r="M303" s="1046"/>
      <c r="N303" s="1075"/>
      <c r="O303" s="1046"/>
      <c r="P303" s="405" t="s">
        <v>2</v>
      </c>
      <c r="Q303" s="1053" t="s">
        <v>329</v>
      </c>
      <c r="X303" s="35"/>
      <c r="Y303" s="35"/>
      <c r="Z303" s="35"/>
      <c r="AA303" s="35"/>
    </row>
    <row r="304" spans="1:27" s="93" customFormat="1" ht="82.5" customHeight="1">
      <c r="A304" s="1038"/>
      <c r="B304" s="1039"/>
      <c r="C304" s="704" t="s">
        <v>149</v>
      </c>
      <c r="D304" s="140" t="s">
        <v>150</v>
      </c>
      <c r="E304" s="140" t="s">
        <v>153</v>
      </c>
      <c r="F304" s="140" t="s">
        <v>151</v>
      </c>
      <c r="G304" s="140" t="s">
        <v>152</v>
      </c>
      <c r="H304" s="140" t="s">
        <v>32</v>
      </c>
      <c r="I304" s="322" t="s">
        <v>330</v>
      </c>
      <c r="J304" s="140" t="s">
        <v>60</v>
      </c>
      <c r="K304" s="407" t="s">
        <v>295</v>
      </c>
      <c r="L304" s="704" t="s">
        <v>293</v>
      </c>
      <c r="M304" s="398" t="s">
        <v>291</v>
      </c>
      <c r="N304" s="322" t="s">
        <v>297</v>
      </c>
      <c r="O304" s="860" t="s">
        <v>355</v>
      </c>
      <c r="P304" s="400" t="s">
        <v>355</v>
      </c>
      <c r="Q304" s="1054"/>
      <c r="S304" s="42"/>
      <c r="X304" s="35"/>
      <c r="Y304" s="35"/>
      <c r="Z304" s="35"/>
      <c r="AA304" s="35"/>
    </row>
    <row r="305" spans="1:27" s="169" customFormat="1" ht="15.75" customHeight="1">
      <c r="A305" s="413" t="s">
        <v>15</v>
      </c>
      <c r="B305" s="574" t="str">
        <f aca="true" t="shared" si="140" ref="B305:I305">B8</f>
        <v>Total EU27 1990, km^2</v>
      </c>
      <c r="C305" s="410">
        <f t="shared" si="140"/>
        <v>351210.1</v>
      </c>
      <c r="D305" s="410">
        <f t="shared" si="140"/>
        <v>755804.99</v>
      </c>
      <c r="E305" s="410">
        <f t="shared" si="140"/>
        <v>591091.8</v>
      </c>
      <c r="F305" s="410">
        <f t="shared" si="140"/>
        <v>680760.12</v>
      </c>
      <c r="G305" s="410">
        <f t="shared" si="140"/>
        <v>432991.19</v>
      </c>
      <c r="H305" s="410">
        <f t="shared" si="140"/>
        <v>1512894.87</v>
      </c>
      <c r="I305" s="410">
        <f t="shared" si="140"/>
        <v>4324753.07</v>
      </c>
      <c r="J305" s="494"/>
      <c r="K305" s="706"/>
      <c r="L305" s="705"/>
      <c r="M305" s="636"/>
      <c r="N305" s="637"/>
      <c r="O305" s="861"/>
      <c r="P305" s="638"/>
      <c r="Q305" s="953"/>
      <c r="R305" s="665"/>
      <c r="S305" s="432"/>
      <c r="X305" s="357"/>
      <c r="Y305" s="357"/>
      <c r="Z305" s="357"/>
      <c r="AA305" s="357"/>
    </row>
    <row r="306" spans="1:27" s="626" customFormat="1" ht="15.75" customHeight="1">
      <c r="A306" s="794" t="s">
        <v>192</v>
      </c>
      <c r="B306" s="795" t="s">
        <v>550</v>
      </c>
      <c r="C306" s="796">
        <f aca="true" t="shared" si="141" ref="C306:H306">C9</f>
        <v>102011.43</v>
      </c>
      <c r="D306" s="796">
        <f t="shared" si="141"/>
        <v>20245.44</v>
      </c>
      <c r="E306" s="796">
        <f t="shared" si="141"/>
        <v>11432.47</v>
      </c>
      <c r="F306" s="796">
        <f t="shared" si="141"/>
        <v>5342.28</v>
      </c>
      <c r="G306" s="796">
        <f t="shared" si="141"/>
        <v>2912.93</v>
      </c>
      <c r="H306" s="796">
        <f t="shared" si="141"/>
        <v>34546.29</v>
      </c>
      <c r="I306" s="798">
        <f>SUM(C306:H306)</f>
        <v>176490.84</v>
      </c>
      <c r="J306" s="797"/>
      <c r="K306" s="799"/>
      <c r="L306" s="824"/>
      <c r="M306" s="825"/>
      <c r="N306" s="800"/>
      <c r="O306" s="798"/>
      <c r="P306" s="801"/>
      <c r="Q306" s="954"/>
      <c r="R306" s="802"/>
      <c r="S306" s="803"/>
      <c r="X306" s="804"/>
      <c r="Y306" s="804"/>
      <c r="Z306" s="804"/>
      <c r="AA306" s="804"/>
    </row>
    <row r="307" spans="1:17" ht="15" customHeight="1">
      <c r="A307" s="261"/>
      <c r="B307" s="109" t="s">
        <v>796</v>
      </c>
      <c r="C307" s="783">
        <f aca="true" t="shared" si="142" ref="C307:I307">C306/C305%</f>
        <v>29.045699426070037</v>
      </c>
      <c r="D307" s="783">
        <f t="shared" si="142"/>
        <v>2.6786592134037113</v>
      </c>
      <c r="E307" s="783">
        <f t="shared" si="142"/>
        <v>1.934127660035209</v>
      </c>
      <c r="F307" s="783">
        <f t="shared" si="142"/>
        <v>0.7847521972938132</v>
      </c>
      <c r="G307" s="783">
        <f t="shared" si="142"/>
        <v>0.6727457895852338</v>
      </c>
      <c r="H307" s="783">
        <f t="shared" si="142"/>
        <v>2.283456087071007</v>
      </c>
      <c r="I307" s="783">
        <f t="shared" si="142"/>
        <v>4.080946059655609</v>
      </c>
      <c r="J307" s="92"/>
      <c r="K307" s="458"/>
      <c r="P307" s="870"/>
      <c r="Q307" s="870"/>
    </row>
    <row r="308" spans="1:27" s="169" customFormat="1" ht="15.75" customHeight="1">
      <c r="A308" s="413" t="s">
        <v>17</v>
      </c>
      <c r="B308" s="574" t="str">
        <f aca="true" t="shared" si="143" ref="B308:I308">B38</f>
        <v>Total EU27 2006, km^2</v>
      </c>
      <c r="C308" s="410">
        <f t="shared" si="143"/>
        <v>359019.49</v>
      </c>
      <c r="D308" s="410">
        <f t="shared" si="143"/>
        <v>751196.3600000001</v>
      </c>
      <c r="E308" s="410">
        <f t="shared" si="143"/>
        <v>591388.6699999999</v>
      </c>
      <c r="F308" s="410">
        <f t="shared" si="143"/>
        <v>663727.37</v>
      </c>
      <c r="G308" s="410">
        <f t="shared" si="143"/>
        <v>445154.12</v>
      </c>
      <c r="H308" s="410">
        <f t="shared" si="143"/>
        <v>1514267.2100000002</v>
      </c>
      <c r="I308" s="410">
        <f t="shared" si="143"/>
        <v>4324753.220000001</v>
      </c>
      <c r="J308" s="494"/>
      <c r="K308" s="706"/>
      <c r="L308" s="705"/>
      <c r="M308" s="636"/>
      <c r="N308" s="637"/>
      <c r="O308" s="861"/>
      <c r="P308" s="638"/>
      <c r="Q308" s="953"/>
      <c r="R308" s="665"/>
      <c r="S308" s="432"/>
      <c r="X308" s="357"/>
      <c r="Y308" s="357"/>
      <c r="Z308" s="357"/>
      <c r="AA308" s="357"/>
    </row>
    <row r="309" spans="1:27" s="626" customFormat="1" ht="15.75" customHeight="1">
      <c r="A309" s="794" t="s">
        <v>200</v>
      </c>
      <c r="B309" s="795" t="s">
        <v>551</v>
      </c>
      <c r="C309" s="796">
        <f aca="true" t="shared" si="144" ref="C309:H309">C39</f>
        <v>111917.88</v>
      </c>
      <c r="D309" s="796">
        <f t="shared" si="144"/>
        <v>21355.79</v>
      </c>
      <c r="E309" s="796">
        <f t="shared" si="144"/>
        <v>12058.07</v>
      </c>
      <c r="F309" s="796">
        <f t="shared" si="144"/>
        <v>5273.26</v>
      </c>
      <c r="G309" s="796">
        <f t="shared" si="144"/>
        <v>2995.82</v>
      </c>
      <c r="H309" s="796">
        <f t="shared" si="144"/>
        <v>36328.42</v>
      </c>
      <c r="I309" s="798">
        <f>SUM(C309:H309)</f>
        <v>189929.24000000005</v>
      </c>
      <c r="J309" s="797"/>
      <c r="K309" s="799"/>
      <c r="L309" s="824"/>
      <c r="M309" s="825"/>
      <c r="N309" s="800"/>
      <c r="O309" s="798"/>
      <c r="P309" s="801"/>
      <c r="Q309" s="954"/>
      <c r="R309" s="802"/>
      <c r="S309" s="803"/>
      <c r="X309" s="804"/>
      <c r="Y309" s="804"/>
      <c r="Z309" s="804"/>
      <c r="AA309" s="804"/>
    </row>
    <row r="310" spans="1:18" s="66" customFormat="1" ht="15" customHeight="1">
      <c r="A310" s="113" t="s">
        <v>186</v>
      </c>
      <c r="B310" s="109" t="s">
        <v>795</v>
      </c>
      <c r="C310" s="783">
        <f>C309/C308%</f>
        <v>31.17320455220969</v>
      </c>
      <c r="D310" s="783">
        <f aca="true" t="shared" si="145" ref="D310:I310">D309/D308%</f>
        <v>2.8429038181175423</v>
      </c>
      <c r="E310" s="783">
        <f t="shared" si="145"/>
        <v>2.038941665892923</v>
      </c>
      <c r="F310" s="783">
        <f t="shared" si="145"/>
        <v>0.7944918709620187</v>
      </c>
      <c r="G310" s="783">
        <f t="shared" si="145"/>
        <v>0.672984897904573</v>
      </c>
      <c r="H310" s="783">
        <f t="shared" si="145"/>
        <v>2.3990759200286713</v>
      </c>
      <c r="I310" s="783">
        <f t="shared" si="145"/>
        <v>4.391678099033822</v>
      </c>
      <c r="J310" s="64"/>
      <c r="K310" s="786"/>
      <c r="L310" s="119"/>
      <c r="M310" s="64"/>
      <c r="N310" s="64"/>
      <c r="O310" s="862"/>
      <c r="P310" s="754"/>
      <c r="Q310" s="754"/>
      <c r="R310" s="84"/>
    </row>
    <row r="311" spans="1:27" s="169" customFormat="1" ht="15.75" customHeight="1">
      <c r="A311" s="413" t="s">
        <v>64</v>
      </c>
      <c r="B311" s="574" t="s">
        <v>390</v>
      </c>
      <c r="C311" s="433">
        <v>126224000</v>
      </c>
      <c r="D311" s="410">
        <v>100447000</v>
      </c>
      <c r="E311" s="410">
        <v>37022300</v>
      </c>
      <c r="F311" s="410">
        <v>28487400</v>
      </c>
      <c r="G311" s="410">
        <v>4263415</v>
      </c>
      <c r="H311" s="410">
        <v>188388000</v>
      </c>
      <c r="I311" s="410">
        <f>SUM(C311:H311)</f>
        <v>484832115</v>
      </c>
      <c r="J311" s="494"/>
      <c r="K311" s="706"/>
      <c r="L311" s="705"/>
      <c r="M311" s="636"/>
      <c r="N311" s="637"/>
      <c r="O311" s="861"/>
      <c r="P311" s="638"/>
      <c r="Q311" s="638"/>
      <c r="R311" s="665"/>
      <c r="S311" s="432"/>
      <c r="X311" s="357"/>
      <c r="Y311" s="357"/>
      <c r="Z311" s="357"/>
      <c r="AA311" s="357"/>
    </row>
    <row r="312" spans="1:27" s="626" customFormat="1" ht="15.75" customHeight="1">
      <c r="A312" s="794" t="s">
        <v>105</v>
      </c>
      <c r="B312" s="795" t="s">
        <v>391</v>
      </c>
      <c r="C312" s="796">
        <f aca="true" t="shared" si="146" ref="C312:H312">C311*0.98</f>
        <v>123699520</v>
      </c>
      <c r="D312" s="797">
        <f t="shared" si="146"/>
        <v>98438060</v>
      </c>
      <c r="E312" s="797">
        <f t="shared" si="146"/>
        <v>36281854</v>
      </c>
      <c r="F312" s="797">
        <f t="shared" si="146"/>
        <v>27917652</v>
      </c>
      <c r="G312" s="797">
        <f t="shared" si="146"/>
        <v>4178146.6999999997</v>
      </c>
      <c r="H312" s="797">
        <f t="shared" si="146"/>
        <v>184620240</v>
      </c>
      <c r="I312" s="798">
        <f>I311*0.98</f>
        <v>475135472.7</v>
      </c>
      <c r="J312" s="797"/>
      <c r="K312" s="799"/>
      <c r="L312" s="796"/>
      <c r="M312" s="797"/>
      <c r="N312" s="800"/>
      <c r="O312" s="798"/>
      <c r="P312" s="801"/>
      <c r="Q312" s="954"/>
      <c r="R312" s="802"/>
      <c r="S312" s="803"/>
      <c r="X312" s="804"/>
      <c r="Y312" s="804"/>
      <c r="Z312" s="804"/>
      <c r="AA312" s="804"/>
    </row>
    <row r="313" spans="1:27" s="626" customFormat="1" ht="15.75" customHeight="1">
      <c r="A313" s="794" t="s">
        <v>109</v>
      </c>
      <c r="B313" s="795" t="s">
        <v>392</v>
      </c>
      <c r="C313" s="796">
        <f aca="true" t="shared" si="147" ref="C313:H313">C311*1.02</f>
        <v>128748480</v>
      </c>
      <c r="D313" s="797">
        <f t="shared" si="147"/>
        <v>102455940</v>
      </c>
      <c r="E313" s="797">
        <f t="shared" si="147"/>
        <v>37762746</v>
      </c>
      <c r="F313" s="797">
        <f t="shared" si="147"/>
        <v>29057148</v>
      </c>
      <c r="G313" s="797">
        <f t="shared" si="147"/>
        <v>4348683.3</v>
      </c>
      <c r="H313" s="797">
        <f t="shared" si="147"/>
        <v>192155760</v>
      </c>
      <c r="I313" s="798">
        <f>I311*1.02</f>
        <v>494528757.3</v>
      </c>
      <c r="J313" s="797"/>
      <c r="K313" s="799"/>
      <c r="L313" s="796"/>
      <c r="M313" s="797"/>
      <c r="N313" s="800"/>
      <c r="O313" s="798"/>
      <c r="P313" s="801"/>
      <c r="Q313" s="954"/>
      <c r="R313" s="802"/>
      <c r="S313" s="803"/>
      <c r="X313" s="804"/>
      <c r="Y313" s="804"/>
      <c r="Z313" s="804"/>
      <c r="AA313" s="804"/>
    </row>
    <row r="314" spans="1:18" s="793" customFormat="1" ht="18.75" customHeight="1">
      <c r="A314" s="788" t="s">
        <v>345</v>
      </c>
      <c r="B314" s="1056" t="s">
        <v>398</v>
      </c>
      <c r="C314" s="1057"/>
      <c r="D314" s="1057"/>
      <c r="E314" s="1057"/>
      <c r="F314" s="1057"/>
      <c r="G314" s="1057"/>
      <c r="H314" s="1057"/>
      <c r="I314" s="1058"/>
      <c r="J314" s="789"/>
      <c r="K314" s="790"/>
      <c r="L314" s="791"/>
      <c r="M314" s="789"/>
      <c r="N314" s="789"/>
      <c r="O314" s="863"/>
      <c r="P314" s="792"/>
      <c r="Q314" s="792"/>
      <c r="R314" s="358"/>
    </row>
    <row r="315" spans="1:27" s="626" customFormat="1" ht="15.75" customHeight="1">
      <c r="A315" s="794" t="s">
        <v>110</v>
      </c>
      <c r="B315" s="795" t="s">
        <v>548</v>
      </c>
      <c r="C315" s="808">
        <f aca="true" t="shared" si="148" ref="C315:I316">C97/C312*1000000</f>
        <v>0.5349454872581558</v>
      </c>
      <c r="D315" s="809">
        <f t="shared" si="148"/>
        <v>2.5455601217659103</v>
      </c>
      <c r="E315" s="809">
        <f t="shared" si="148"/>
        <v>7.520288241058463</v>
      </c>
      <c r="F315" s="809">
        <f t="shared" si="148"/>
        <v>12.55298977148938</v>
      </c>
      <c r="G315" s="809">
        <f t="shared" si="148"/>
        <v>19.819792349560153</v>
      </c>
      <c r="H315" s="809">
        <f t="shared" si="148"/>
        <v>1.3535894005987643</v>
      </c>
      <c r="I315" s="810">
        <f t="shared" si="148"/>
        <v>2.678736009263659</v>
      </c>
      <c r="J315" s="797"/>
      <c r="K315" s="799"/>
      <c r="L315" s="824">
        <f>L97/$I312*1000000</f>
        <v>0.025321620235238654</v>
      </c>
      <c r="M315" s="825">
        <f>M97/$I312*1000000</f>
        <v>0.0050643240470477306</v>
      </c>
      <c r="N315" s="800"/>
      <c r="O315" s="798"/>
      <c r="P315" s="801"/>
      <c r="Q315" s="954"/>
      <c r="R315" s="802"/>
      <c r="S315" s="803"/>
      <c r="X315" s="804"/>
      <c r="Y315" s="804"/>
      <c r="Z315" s="804"/>
      <c r="AA315" s="804"/>
    </row>
    <row r="316" spans="1:27" s="626" customFormat="1" ht="15.75" customHeight="1">
      <c r="A316" s="794" t="s">
        <v>112</v>
      </c>
      <c r="B316" s="795" t="s">
        <v>549</v>
      </c>
      <c r="C316" s="808">
        <f t="shared" si="148"/>
        <v>0.4535004995787134</v>
      </c>
      <c r="D316" s="809">
        <f t="shared" si="148"/>
        <v>2.3345644966997523</v>
      </c>
      <c r="E316" s="809">
        <f t="shared" si="148"/>
        <v>6.800352919250099</v>
      </c>
      <c r="F316" s="809">
        <f t="shared" si="148"/>
        <v>12.761920061803725</v>
      </c>
      <c r="G316" s="809">
        <f t="shared" si="148"/>
        <v>18.624028105242797</v>
      </c>
      <c r="H316" s="809">
        <f t="shared" si="148"/>
        <v>1.0863062340676126</v>
      </c>
      <c r="I316" s="810">
        <f t="shared" si="148"/>
        <v>2.4567479283373115</v>
      </c>
      <c r="J316" s="797"/>
      <c r="K316" s="799"/>
      <c r="L316" s="824">
        <f>L98/$I313*1000000</f>
        <v>0.010089605359336295</v>
      </c>
      <c r="M316" s="825">
        <f>M98/$I313*1000000</f>
        <v>0.0020179210718672598</v>
      </c>
      <c r="N316" s="800"/>
      <c r="O316" s="798"/>
      <c r="P316" s="801"/>
      <c r="Q316" s="954"/>
      <c r="R316" s="802"/>
      <c r="S316" s="803"/>
      <c r="X316" s="804"/>
      <c r="Y316" s="804"/>
      <c r="Z316" s="804"/>
      <c r="AA316" s="804"/>
    </row>
    <row r="317" spans="1:18" s="793" customFormat="1" ht="18.75" customHeight="1">
      <c r="A317" s="788" t="s">
        <v>346</v>
      </c>
      <c r="B317" s="1056" t="s">
        <v>399</v>
      </c>
      <c r="C317" s="1057"/>
      <c r="D317" s="1057"/>
      <c r="E317" s="1057"/>
      <c r="F317" s="1057"/>
      <c r="G317" s="1057"/>
      <c r="H317" s="1057"/>
      <c r="I317" s="1058"/>
      <c r="J317" s="789"/>
      <c r="K317" s="790"/>
      <c r="L317" s="791"/>
      <c r="M317" s="789"/>
      <c r="N317" s="789"/>
      <c r="O317" s="863"/>
      <c r="P317" s="792"/>
      <c r="Q317" s="792"/>
      <c r="R317" s="358"/>
    </row>
    <row r="318" spans="1:27" s="626" customFormat="1" ht="17.25" customHeight="1">
      <c r="A318" s="794" t="s">
        <v>538</v>
      </c>
      <c r="B318" s="795" t="s">
        <v>546</v>
      </c>
      <c r="C318" s="805">
        <f aca="true" t="shared" si="149" ref="C318:I319">C166/C312*1000000</f>
        <v>104.52217915037906</v>
      </c>
      <c r="D318" s="806">
        <f t="shared" si="149"/>
        <v>749.9233741428758</v>
      </c>
      <c r="E318" s="806">
        <f t="shared" si="149"/>
        <v>1938.6637942669731</v>
      </c>
      <c r="F318" s="806">
        <f t="shared" si="149"/>
        <v>1821.0849759407142</v>
      </c>
      <c r="G318" s="806">
        <f t="shared" si="149"/>
        <v>4141.974368971501</v>
      </c>
      <c r="H318" s="806">
        <f t="shared" si="149"/>
        <v>972.1098749954847</v>
      </c>
      <c r="I318" s="807">
        <f t="shared" si="149"/>
        <v>851.7697311009368</v>
      </c>
      <c r="J318" s="797"/>
      <c r="K318" s="799"/>
      <c r="L318" s="796"/>
      <c r="M318" s="797"/>
      <c r="N318" s="800"/>
      <c r="O318" s="798"/>
      <c r="P318" s="801"/>
      <c r="Q318" s="954"/>
      <c r="R318" s="802"/>
      <c r="S318" s="803"/>
      <c r="X318" s="804"/>
      <c r="Y318" s="804"/>
      <c r="Z318" s="804"/>
      <c r="AA318" s="804"/>
    </row>
    <row r="319" spans="1:27" s="626" customFormat="1" ht="17.25" customHeight="1">
      <c r="A319" s="794" t="s">
        <v>539</v>
      </c>
      <c r="B319" s="795" t="s">
        <v>547</v>
      </c>
      <c r="C319" s="805">
        <f t="shared" si="149"/>
        <v>97.26968615634576</v>
      </c>
      <c r="D319" s="806">
        <f t="shared" si="149"/>
        <v>704.5366384398033</v>
      </c>
      <c r="E319" s="806">
        <f t="shared" si="149"/>
        <v>1595.7727246256834</v>
      </c>
      <c r="F319" s="806">
        <f t="shared" si="149"/>
        <v>1582.1427711666965</v>
      </c>
      <c r="G319" s="806">
        <f t="shared" si="149"/>
        <v>3418.9195820666814</v>
      </c>
      <c r="H319" s="806">
        <f t="shared" si="149"/>
        <v>800.0219334957994</v>
      </c>
      <c r="I319" s="807">
        <f t="shared" si="149"/>
        <v>727.0299661283548</v>
      </c>
      <c r="J319" s="797"/>
      <c r="K319" s="799"/>
      <c r="L319" s="796"/>
      <c r="M319" s="797"/>
      <c r="N319" s="800"/>
      <c r="O319" s="798"/>
      <c r="P319" s="801"/>
      <c r="Q319" s="954"/>
      <c r="R319" s="802"/>
      <c r="S319" s="803"/>
      <c r="X319" s="804"/>
      <c r="Y319" s="804"/>
      <c r="Z319" s="804"/>
      <c r="AA319" s="804"/>
    </row>
    <row r="320" spans="1:18" s="793" customFormat="1" ht="18.75" customHeight="1">
      <c r="A320" s="788" t="s">
        <v>540</v>
      </c>
      <c r="B320" s="1056" t="s">
        <v>512</v>
      </c>
      <c r="C320" s="1057"/>
      <c r="D320" s="1057"/>
      <c r="E320" s="1057"/>
      <c r="F320" s="1057"/>
      <c r="G320" s="1057"/>
      <c r="H320" s="1057"/>
      <c r="I320" s="1058"/>
      <c r="J320" s="789"/>
      <c r="K320" s="790"/>
      <c r="L320" s="791"/>
      <c r="M320" s="789"/>
      <c r="N320" s="789"/>
      <c r="O320" s="863"/>
      <c r="P320" s="792"/>
      <c r="Q320" s="792"/>
      <c r="R320" s="358"/>
    </row>
    <row r="321" spans="1:18" s="782" customFormat="1" ht="15.75" customHeight="1">
      <c r="A321" s="787" t="str">
        <f>"G41"&amp;"= "&amp;A204</f>
        <v>G41= D14</v>
      </c>
      <c r="B321" s="773" t="str">
        <f aca="true" t="shared" si="150" ref="B321:I324">B204</f>
        <v>GALI = Green Accessible Landscape Infrastructure Index (SQRT GBLI*GEI), t1 (~1995)</v>
      </c>
      <c r="C321" s="774">
        <f t="shared" si="150"/>
        <v>6759.610402437262</v>
      </c>
      <c r="D321" s="775">
        <f t="shared" si="150"/>
        <v>11165.848734519788</v>
      </c>
      <c r="E321" s="775">
        <f t="shared" si="150"/>
        <v>18859.629383875133</v>
      </c>
      <c r="F321" s="775">
        <f t="shared" si="150"/>
        <v>23653.37023567165</v>
      </c>
      <c r="G321" s="775">
        <f t="shared" si="150"/>
        <v>31827.617571369294</v>
      </c>
      <c r="H321" s="775">
        <f t="shared" si="150"/>
        <v>31354.68577200648</v>
      </c>
      <c r="I321" s="776">
        <f t="shared" si="150"/>
        <v>123620.76209987962</v>
      </c>
      <c r="J321" s="777"/>
      <c r="K321" s="778"/>
      <c r="L321" s="779"/>
      <c r="M321" s="777"/>
      <c r="N321" s="777"/>
      <c r="O321" s="864"/>
      <c r="P321" s="780"/>
      <c r="Q321" s="780"/>
      <c r="R321" s="781"/>
    </row>
    <row r="322" spans="1:18" s="66" customFormat="1" ht="15" customHeight="1">
      <c r="A322" s="113" t="str">
        <f>"g411"&amp;"= "&amp;A205</f>
        <v>g411= d141</v>
      </c>
      <c r="B322" s="109" t="str">
        <f t="shared" si="150"/>
        <v>Mean GAI per km^2, t1 (~1995)</v>
      </c>
      <c r="C322" s="783">
        <f t="shared" si="150"/>
        <v>19.246628734302522</v>
      </c>
      <c r="D322" s="784">
        <f t="shared" si="150"/>
        <v>14.773451991260059</v>
      </c>
      <c r="E322" s="784">
        <f t="shared" si="150"/>
        <v>31.906430412120642</v>
      </c>
      <c r="F322" s="784">
        <f t="shared" si="150"/>
        <v>34.7455286241968</v>
      </c>
      <c r="G322" s="784">
        <f t="shared" si="150"/>
        <v>73.50638605688327</v>
      </c>
      <c r="H322" s="784">
        <f t="shared" si="150"/>
        <v>20.72496007075923</v>
      </c>
      <c r="I322" s="785">
        <f t="shared" si="150"/>
        <v>28.58446715892605</v>
      </c>
      <c r="J322" s="64"/>
      <c r="K322" s="786"/>
      <c r="L322" s="119"/>
      <c r="M322" s="64"/>
      <c r="N322" s="64"/>
      <c r="O322" s="862"/>
      <c r="P322" s="754"/>
      <c r="Q322" s="754"/>
      <c r="R322" s="84"/>
    </row>
    <row r="323" spans="1:18" s="782" customFormat="1" ht="15.75" customHeight="1">
      <c r="A323" s="787" t="str">
        <f>"G42"&amp;"= "&amp;A206</f>
        <v>G42= D15</v>
      </c>
      <c r="B323" s="773" t="str">
        <f t="shared" si="150"/>
        <v>GALI = Green Accessible Landscape Infrastructure Index (SQRT GBLI*GEI), t1 (~2005)</v>
      </c>
      <c r="C323" s="774">
        <f t="shared" si="150"/>
        <v>6565.51401893041</v>
      </c>
      <c r="D323" s="775">
        <f t="shared" si="150"/>
        <v>10896.752594550147</v>
      </c>
      <c r="E323" s="775">
        <f t="shared" si="150"/>
        <v>18318.09138985556</v>
      </c>
      <c r="F323" s="775">
        <f t="shared" si="150"/>
        <v>23306.358220467126</v>
      </c>
      <c r="G323" s="775">
        <f t="shared" si="150"/>
        <v>31987.959228834705</v>
      </c>
      <c r="H323" s="775">
        <f t="shared" si="150"/>
        <v>30745.798960390595</v>
      </c>
      <c r="I323" s="776">
        <f t="shared" si="150"/>
        <v>121820.47441302854</v>
      </c>
      <c r="J323" s="777"/>
      <c r="K323" s="778"/>
      <c r="L323" s="779"/>
      <c r="M323" s="777"/>
      <c r="N323" s="777"/>
      <c r="O323" s="864"/>
      <c r="P323" s="780"/>
      <c r="Q323" s="780"/>
      <c r="R323" s="781"/>
    </row>
    <row r="324" spans="1:18" s="66" customFormat="1" ht="15" customHeight="1">
      <c r="A324" s="113" t="str">
        <f>"g421"&amp;"= "&amp;A207</f>
        <v>g421= d151</v>
      </c>
      <c r="B324" s="109" t="str">
        <f t="shared" si="150"/>
        <v>Mean GAI per km^2, t1 (~2005)</v>
      </c>
      <c r="C324" s="783">
        <f t="shared" si="150"/>
        <v>18.693978387667126</v>
      </c>
      <c r="D324" s="784">
        <f t="shared" si="150"/>
        <v>14.417412875972342</v>
      </c>
      <c r="E324" s="784">
        <f t="shared" si="150"/>
        <v>30.99026477757864</v>
      </c>
      <c r="F324" s="784">
        <f t="shared" si="150"/>
        <v>34.235786638716625</v>
      </c>
      <c r="G324" s="784">
        <f t="shared" si="150"/>
        <v>73.87669765021018</v>
      </c>
      <c r="H324" s="784">
        <f t="shared" si="150"/>
        <v>20.322495349852428</v>
      </c>
      <c r="I324" s="785">
        <f t="shared" si="150"/>
        <v>28.16819190396656</v>
      </c>
      <c r="J324" s="64"/>
      <c r="K324" s="786"/>
      <c r="L324" s="119"/>
      <c r="M324" s="64"/>
      <c r="N324" s="64"/>
      <c r="O324" s="862"/>
      <c r="P324" s="754"/>
      <c r="Q324" s="754"/>
      <c r="R324" s="84"/>
    </row>
    <row r="325" spans="1:18" s="93" customFormat="1" ht="15.75" customHeight="1">
      <c r="A325" s="615" t="s">
        <v>541</v>
      </c>
      <c r="B325" s="574" t="s">
        <v>555</v>
      </c>
      <c r="C325" s="489">
        <f aca="true" t="shared" si="151" ref="C325:H325">SQRT(C321*C306)</f>
        <v>26259.427324210643</v>
      </c>
      <c r="D325" s="489">
        <f t="shared" si="151"/>
        <v>15035.209363483978</v>
      </c>
      <c r="E325" s="489">
        <f t="shared" si="151"/>
        <v>14683.737505903287</v>
      </c>
      <c r="F325" s="489">
        <f t="shared" si="151"/>
        <v>11241.126578000265</v>
      </c>
      <c r="G325" s="489">
        <f t="shared" si="151"/>
        <v>9628.68745220078</v>
      </c>
      <c r="H325" s="489">
        <f t="shared" si="151"/>
        <v>32911.82261040263</v>
      </c>
      <c r="I325" s="298">
        <f>SUM(C325:H325)</f>
        <v>109760.01083420159</v>
      </c>
      <c r="J325" s="139"/>
      <c r="K325" s="707"/>
      <c r="L325" s="547"/>
      <c r="M325" s="139"/>
      <c r="N325" s="139"/>
      <c r="O325" s="865"/>
      <c r="P325" s="666"/>
      <c r="Q325" s="666"/>
      <c r="R325" s="81"/>
    </row>
    <row r="326" spans="1:19" s="804" customFormat="1" ht="15.75" customHeight="1">
      <c r="A326" s="811" t="s">
        <v>542</v>
      </c>
      <c r="B326" s="812" t="s">
        <v>451</v>
      </c>
      <c r="C326" s="821">
        <f aca="true" t="shared" si="152" ref="C326:I326">C325/C$8%</f>
        <v>7.476842871036637</v>
      </c>
      <c r="D326" s="822">
        <f t="shared" si="152"/>
        <v>1.9892974460891002</v>
      </c>
      <c r="E326" s="822">
        <f t="shared" si="152"/>
        <v>2.4841720872973174</v>
      </c>
      <c r="F326" s="822">
        <f t="shared" si="152"/>
        <v>1.6512610312719647</v>
      </c>
      <c r="G326" s="822">
        <f t="shared" si="152"/>
        <v>2.2237605924963</v>
      </c>
      <c r="H326" s="822">
        <f t="shared" si="152"/>
        <v>2.175420332438739</v>
      </c>
      <c r="I326" s="823">
        <f t="shared" si="152"/>
        <v>2.5379486194387875</v>
      </c>
      <c r="J326" s="814"/>
      <c r="K326" s="816"/>
      <c r="L326" s="813"/>
      <c r="M326" s="814"/>
      <c r="N326" s="817"/>
      <c r="O326" s="815"/>
      <c r="P326" s="818"/>
      <c r="Q326" s="753"/>
      <c r="R326" s="819"/>
      <c r="S326" s="820"/>
    </row>
    <row r="327" spans="1:19" s="804" customFormat="1" ht="15.75" customHeight="1">
      <c r="A327" s="811" t="s">
        <v>543</v>
      </c>
      <c r="B327" s="812" t="s">
        <v>452</v>
      </c>
      <c r="C327" s="813">
        <f aca="true" t="shared" si="153" ref="C327:I327">C325/C$9%</f>
        <v>25.741652013123083</v>
      </c>
      <c r="D327" s="814">
        <f t="shared" si="153"/>
        <v>74.26467077763674</v>
      </c>
      <c r="E327" s="814">
        <f t="shared" si="153"/>
        <v>128.43888946048656</v>
      </c>
      <c r="F327" s="814">
        <f t="shared" si="153"/>
        <v>210.4181468960868</v>
      </c>
      <c r="G327" s="814">
        <f t="shared" si="153"/>
        <v>330.54990858691355</v>
      </c>
      <c r="H327" s="814">
        <f t="shared" si="153"/>
        <v>95.26876145138199</v>
      </c>
      <c r="I327" s="815">
        <f t="shared" si="153"/>
        <v>62.19020252507246</v>
      </c>
      <c r="J327" s="814"/>
      <c r="K327" s="816"/>
      <c r="L327" s="813"/>
      <c r="M327" s="814"/>
      <c r="N327" s="817"/>
      <c r="O327" s="815"/>
      <c r="P327" s="818"/>
      <c r="Q327" s="753"/>
      <c r="R327" s="819"/>
      <c r="S327" s="820"/>
    </row>
    <row r="328" spans="1:18" s="93" customFormat="1" ht="15.75" customHeight="1">
      <c r="A328" s="615" t="s">
        <v>544</v>
      </c>
      <c r="B328" s="574" t="s">
        <v>554</v>
      </c>
      <c r="C328" s="489">
        <f aca="true" t="shared" si="154" ref="C328:H328">SQRT(C323*C309)</f>
        <v>27107.165290914712</v>
      </c>
      <c r="D328" s="489">
        <f t="shared" si="154"/>
        <v>15254.794659095483</v>
      </c>
      <c r="E328" s="489">
        <f t="shared" si="154"/>
        <v>14862.060026970541</v>
      </c>
      <c r="F328" s="489">
        <f t="shared" si="154"/>
        <v>11086.04918578573</v>
      </c>
      <c r="G328" s="489">
        <f t="shared" si="154"/>
        <v>9789.288432614885</v>
      </c>
      <c r="H328" s="489">
        <f t="shared" si="154"/>
        <v>33420.74651872146</v>
      </c>
      <c r="I328" s="298">
        <f>SUM(C328:H328)</f>
        <v>111520.10411410281</v>
      </c>
      <c r="J328" s="139"/>
      <c r="K328" s="707"/>
      <c r="L328" s="547"/>
      <c r="M328" s="139"/>
      <c r="N328" s="139"/>
      <c r="O328" s="865"/>
      <c r="P328" s="666"/>
      <c r="Q328" s="666"/>
      <c r="R328" s="81"/>
    </row>
    <row r="329" spans="1:19" s="804" customFormat="1" ht="15.75" customHeight="1">
      <c r="A329" s="811" t="s">
        <v>556</v>
      </c>
      <c r="B329" s="812" t="s">
        <v>451</v>
      </c>
      <c r="C329" s="821">
        <f aca="true" t="shared" si="155" ref="C329:I329">C328/C$8%</f>
        <v>7.718219177328532</v>
      </c>
      <c r="D329" s="822">
        <f t="shared" si="155"/>
        <v>2.018350614368858</v>
      </c>
      <c r="E329" s="822">
        <f t="shared" si="155"/>
        <v>2.5143404166612595</v>
      </c>
      <c r="F329" s="822">
        <f t="shared" si="155"/>
        <v>1.6284809964757823</v>
      </c>
      <c r="G329" s="822">
        <f t="shared" si="155"/>
        <v>2.2608516428740466</v>
      </c>
      <c r="H329" s="822">
        <f t="shared" si="155"/>
        <v>2.2090594119551388</v>
      </c>
      <c r="I329" s="823">
        <f t="shared" si="155"/>
        <v>2.5786467414219976</v>
      </c>
      <c r="J329" s="814"/>
      <c r="K329" s="816"/>
      <c r="L329" s="813"/>
      <c r="M329" s="814"/>
      <c r="N329" s="817"/>
      <c r="O329" s="815"/>
      <c r="P329" s="818"/>
      <c r="Q329" s="753"/>
      <c r="R329" s="819"/>
      <c r="S329" s="820"/>
    </row>
    <row r="330" spans="1:19" s="804" customFormat="1" ht="15.75" customHeight="1">
      <c r="A330" s="811" t="s">
        <v>557</v>
      </c>
      <c r="B330" s="812" t="s">
        <v>452</v>
      </c>
      <c r="C330" s="813">
        <f aca="true" t="shared" si="156" ref="C330:I330">C328/C$9%</f>
        <v>26.57267454334746</v>
      </c>
      <c r="D330" s="814">
        <f t="shared" si="156"/>
        <v>75.3492868472875</v>
      </c>
      <c r="E330" s="814">
        <f t="shared" si="156"/>
        <v>129.99867943646947</v>
      </c>
      <c r="F330" s="814">
        <f t="shared" si="156"/>
        <v>207.51531529208</v>
      </c>
      <c r="G330" s="814">
        <f t="shared" si="156"/>
        <v>336.0632913463381</v>
      </c>
      <c r="H330" s="814">
        <f t="shared" si="156"/>
        <v>96.74192661128434</v>
      </c>
      <c r="I330" s="815">
        <f t="shared" si="156"/>
        <v>63.18747427011102</v>
      </c>
      <c r="J330" s="814"/>
      <c r="K330" s="816"/>
      <c r="L330" s="813"/>
      <c r="M330" s="814"/>
      <c r="N330" s="817"/>
      <c r="O330" s="815"/>
      <c r="P330" s="818"/>
      <c r="Q330" s="753"/>
      <c r="R330" s="819"/>
      <c r="S330" s="820"/>
    </row>
    <row r="331" spans="1:18" s="93" customFormat="1" ht="15.75" customHeight="1">
      <c r="A331" s="615" t="s">
        <v>545</v>
      </c>
      <c r="B331" s="574" t="s">
        <v>793</v>
      </c>
      <c r="C331" s="557">
        <f>C321/C306</f>
        <v>0.06626326483647237</v>
      </c>
      <c r="D331" s="557">
        <f aca="true" t="shared" si="157" ref="D331:I331">D321/D306</f>
        <v>0.5515241325710772</v>
      </c>
      <c r="E331" s="557">
        <f t="shared" si="157"/>
        <v>1.649654832584309</v>
      </c>
      <c r="F331" s="557">
        <f t="shared" si="157"/>
        <v>4.427579654318316</v>
      </c>
      <c r="G331" s="557">
        <f t="shared" si="157"/>
        <v>10.92632420668169</v>
      </c>
      <c r="H331" s="557">
        <f t="shared" si="157"/>
        <v>0.9076136908480326</v>
      </c>
      <c r="I331" s="557">
        <f t="shared" si="157"/>
        <v>0.7004372697182449</v>
      </c>
      <c r="J331" s="139"/>
      <c r="K331" s="707"/>
      <c r="L331" s="547"/>
      <c r="M331" s="139"/>
      <c r="N331" s="139"/>
      <c r="O331" s="865"/>
      <c r="P331" s="666"/>
      <c r="Q331" s="666"/>
      <c r="R331" s="81"/>
    </row>
    <row r="332" spans="1:18" s="93" customFormat="1" ht="16.5" customHeight="1" thickBot="1">
      <c r="A332" s="849" t="s">
        <v>552</v>
      </c>
      <c r="B332" s="850" t="s">
        <v>794</v>
      </c>
      <c r="C332" s="826">
        <f>C323/C309</f>
        <v>0.058663673927083056</v>
      </c>
      <c r="D332" s="826">
        <f aca="true" t="shared" si="158" ref="D332:I332">D323/D309</f>
        <v>0.5102481619528075</v>
      </c>
      <c r="E332" s="826">
        <f t="shared" si="158"/>
        <v>1.5191561659416108</v>
      </c>
      <c r="F332" s="826">
        <f t="shared" si="158"/>
        <v>4.419724842026967</v>
      </c>
      <c r="G332" s="826">
        <f t="shared" si="158"/>
        <v>10.67753043535149</v>
      </c>
      <c r="H332" s="826">
        <f t="shared" si="158"/>
        <v>0.8463290988265</v>
      </c>
      <c r="I332" s="826">
        <f t="shared" si="158"/>
        <v>0.6413992622359175</v>
      </c>
      <c r="J332" s="827"/>
      <c r="K332" s="828"/>
      <c r="L332" s="829"/>
      <c r="M332" s="827"/>
      <c r="N332" s="827"/>
      <c r="O332" s="866"/>
      <c r="P332" s="830"/>
      <c r="Q332" s="830"/>
      <c r="R332" s="81"/>
    </row>
    <row r="333" spans="1:18" s="93" customFormat="1" ht="16.5" customHeight="1">
      <c r="A333" s="435" t="s">
        <v>553</v>
      </c>
      <c r="B333" s="255" t="s">
        <v>559</v>
      </c>
      <c r="C333" s="851">
        <f>(C331*C327)*C312/1000000</f>
        <v>210.99747565972555</v>
      </c>
      <c r="D333" s="851">
        <f aca="true" t="shared" si="159" ref="D333:I333">(D331*D327)*D312/1000000</f>
        <v>4031.9006904556504</v>
      </c>
      <c r="E333" s="851">
        <f t="shared" si="159"/>
        <v>7687.393227775914</v>
      </c>
      <c r="F333" s="851">
        <f t="shared" si="159"/>
        <v>26009.288024200512</v>
      </c>
      <c r="G333" s="851">
        <f t="shared" si="159"/>
        <v>15090.193499815876</v>
      </c>
      <c r="H333" s="851">
        <f t="shared" si="159"/>
        <v>15963.601161529205</v>
      </c>
      <c r="I333" s="851">
        <f t="shared" si="159"/>
        <v>20697.060674730816</v>
      </c>
      <c r="J333" s="852"/>
      <c r="K333" s="853"/>
      <c r="L333" s="854"/>
      <c r="M333" s="852"/>
      <c r="N333" s="852"/>
      <c r="O333" s="867"/>
      <c r="P333" s="955"/>
      <c r="Q333" s="955"/>
      <c r="R333" s="81"/>
    </row>
    <row r="334" spans="1:18" s="93" customFormat="1" ht="16.5" customHeight="1" thickBot="1">
      <c r="A334" s="700" t="s">
        <v>558</v>
      </c>
      <c r="B334" s="855" t="s">
        <v>560</v>
      </c>
      <c r="C334" s="560">
        <f>(C332*C330)*C313/1000000</f>
        <v>200.69966007502344</v>
      </c>
      <c r="D334" s="560">
        <f aca="true" t="shared" si="160" ref="D334:I334">(D332*D330)*D313/1000000</f>
        <v>3939.106632068727</v>
      </c>
      <c r="E334" s="560">
        <f t="shared" si="160"/>
        <v>7457.70033830283</v>
      </c>
      <c r="F334" s="560">
        <f t="shared" si="160"/>
        <v>26650.07112245795</v>
      </c>
      <c r="G334" s="560">
        <f t="shared" si="160"/>
        <v>15604.49344489132</v>
      </c>
      <c r="H334" s="560">
        <f t="shared" si="160"/>
        <v>15732.850382050932</v>
      </c>
      <c r="I334" s="560">
        <f t="shared" si="160"/>
        <v>20042.458980452884</v>
      </c>
      <c r="J334" s="856"/>
      <c r="K334" s="857"/>
      <c r="L334" s="551"/>
      <c r="M334" s="856"/>
      <c r="N334" s="856"/>
      <c r="O334" s="858"/>
      <c r="P334" s="869"/>
      <c r="Q334" s="859"/>
      <c r="R334" s="81"/>
    </row>
    <row r="335" spans="1:18" s="93" customFormat="1" ht="15.75" customHeight="1" thickBot="1">
      <c r="A335" s="765"/>
      <c r="B335" s="766"/>
      <c r="C335" s="767"/>
      <c r="D335" s="768"/>
      <c r="E335" s="768"/>
      <c r="F335" s="768"/>
      <c r="G335" s="768"/>
      <c r="H335" s="768"/>
      <c r="I335" s="769"/>
      <c r="J335" s="770"/>
      <c r="K335" s="771"/>
      <c r="L335" s="772"/>
      <c r="M335" s="771"/>
      <c r="N335" s="5"/>
      <c r="O335" s="5"/>
      <c r="P335" s="5"/>
      <c r="Q335" s="5"/>
      <c r="R335" s="12"/>
    </row>
    <row r="336" spans="1:19" s="425" customFormat="1" ht="73.5" customHeight="1">
      <c r="A336" s="1068" t="s">
        <v>833</v>
      </c>
      <c r="B336" s="1086"/>
      <c r="C336" s="837" t="s">
        <v>13</v>
      </c>
      <c r="D336" s="423" t="s">
        <v>4</v>
      </c>
      <c r="E336" s="423" t="s">
        <v>5</v>
      </c>
      <c r="F336" s="423" t="s">
        <v>6</v>
      </c>
      <c r="G336" s="423" t="s">
        <v>7</v>
      </c>
      <c r="H336" s="423" t="s">
        <v>8</v>
      </c>
      <c r="I336" s="423" t="s">
        <v>9</v>
      </c>
      <c r="J336" s="423" t="s">
        <v>10</v>
      </c>
      <c r="K336" s="423" t="s">
        <v>11</v>
      </c>
      <c r="L336" s="423" t="s">
        <v>12</v>
      </c>
      <c r="M336" s="424" t="s">
        <v>369</v>
      </c>
      <c r="N336" s="427"/>
      <c r="O336" s="685"/>
      <c r="P336" s="427"/>
      <c r="Q336" s="427"/>
      <c r="R336" s="426"/>
      <c r="S336" s="427"/>
    </row>
    <row r="337" spans="1:18" s="689" customFormat="1" ht="18.75">
      <c r="A337" s="1080" t="s">
        <v>871</v>
      </c>
      <c r="B337" s="1081"/>
      <c r="C337" s="1081"/>
      <c r="D337" s="1081"/>
      <c r="E337" s="1081"/>
      <c r="F337" s="1081"/>
      <c r="G337" s="1081"/>
      <c r="H337" s="1081"/>
      <c r="I337" s="1081"/>
      <c r="J337" s="1081"/>
      <c r="K337" s="1081"/>
      <c r="L337" s="1081"/>
      <c r="M337" s="1082"/>
      <c r="N337" s="358"/>
      <c r="O337" s="358"/>
      <c r="P337" s="358"/>
      <c r="Q337" s="358"/>
      <c r="R337" s="358"/>
    </row>
    <row r="338" spans="1:19" s="169" customFormat="1" ht="15.75">
      <c r="A338" s="615" t="s">
        <v>909</v>
      </c>
      <c r="B338" s="574" t="s">
        <v>854</v>
      </c>
      <c r="C338" s="410"/>
      <c r="D338" s="410"/>
      <c r="E338" s="410"/>
      <c r="F338" s="410"/>
      <c r="G338" s="410"/>
      <c r="H338" s="410"/>
      <c r="I338" s="410"/>
      <c r="J338" s="410"/>
      <c r="K338" s="415"/>
      <c r="L338" s="410"/>
      <c r="M338" s="593"/>
      <c r="N338" s="665"/>
      <c r="O338" s="665"/>
      <c r="P338" s="665"/>
      <c r="Q338" s="98"/>
      <c r="R338" s="168"/>
      <c r="S338" s="586"/>
    </row>
    <row r="339" spans="1:19" s="169" customFormat="1" ht="15.75">
      <c r="A339" s="615" t="s">
        <v>908</v>
      </c>
      <c r="B339" s="574" t="s">
        <v>892</v>
      </c>
      <c r="C339" s="410">
        <f>Q268</f>
        <v>15067531.42508128</v>
      </c>
      <c r="D339" s="410">
        <f aca="true" t="shared" si="161" ref="D339:L339">C339+(($M339-$C339)/10)</f>
        <v>14932708.850288566</v>
      </c>
      <c r="E339" s="410">
        <f t="shared" si="161"/>
        <v>14797886.275495853</v>
      </c>
      <c r="F339" s="410">
        <f t="shared" si="161"/>
        <v>14663063.70070314</v>
      </c>
      <c r="G339" s="410">
        <f t="shared" si="161"/>
        <v>14528241.125910427</v>
      </c>
      <c r="H339" s="410">
        <f t="shared" si="161"/>
        <v>14393418.551117714</v>
      </c>
      <c r="I339" s="410">
        <f t="shared" si="161"/>
        <v>14258595.976325002</v>
      </c>
      <c r="J339" s="410">
        <f t="shared" si="161"/>
        <v>14123773.401532289</v>
      </c>
      <c r="K339" s="415">
        <f t="shared" si="161"/>
        <v>13988950.826739576</v>
      </c>
      <c r="L339" s="410">
        <f t="shared" si="161"/>
        <v>13854128.251946863</v>
      </c>
      <c r="M339" s="593">
        <f>Q269</f>
        <v>13719305.67715415</v>
      </c>
      <c r="N339" s="665"/>
      <c r="O339" s="665"/>
      <c r="P339" s="665"/>
      <c r="Q339" s="98"/>
      <c r="R339" s="168"/>
      <c r="S339" s="586"/>
    </row>
    <row r="340" spans="1:21" s="35" customFormat="1" ht="15">
      <c r="A340" s="688" t="s">
        <v>893</v>
      </c>
      <c r="B340" s="131" t="s">
        <v>493</v>
      </c>
      <c r="C340" s="10">
        <f>I268</f>
        <v>1272762.5</v>
      </c>
      <c r="D340" s="10">
        <f aca="true" t="shared" si="162" ref="D340:L340">C340+(($M340-$C340)/10)</f>
        <v>1260167.4642886238</v>
      </c>
      <c r="E340" s="10">
        <f t="shared" si="162"/>
        <v>1247572.4285772475</v>
      </c>
      <c r="F340" s="10">
        <f t="shared" si="162"/>
        <v>1234977.3928658713</v>
      </c>
      <c r="G340" s="10">
        <f t="shared" si="162"/>
        <v>1222382.357154495</v>
      </c>
      <c r="H340" s="10">
        <f t="shared" si="162"/>
        <v>1209787.3214431189</v>
      </c>
      <c r="I340" s="10">
        <f t="shared" si="162"/>
        <v>1197192.2857317426</v>
      </c>
      <c r="J340" s="10">
        <f t="shared" si="162"/>
        <v>1184597.2500203664</v>
      </c>
      <c r="K340" s="1028">
        <f t="shared" si="162"/>
        <v>1172002.2143089902</v>
      </c>
      <c r="L340" s="10">
        <f t="shared" si="162"/>
        <v>1159407.178597614</v>
      </c>
      <c r="M340" s="420">
        <f>I269</f>
        <v>1146812.1428862372</v>
      </c>
      <c r="N340" s="81"/>
      <c r="O340" s="81"/>
      <c r="P340" s="81"/>
      <c r="Q340" s="81"/>
      <c r="R340" s="82"/>
      <c r="S340" s="82"/>
      <c r="T340" s="82"/>
      <c r="U340" s="82"/>
    </row>
    <row r="341" spans="1:21" s="35" customFormat="1" ht="15">
      <c r="A341" s="688" t="s">
        <v>894</v>
      </c>
      <c r="B341" s="131" t="s">
        <v>494</v>
      </c>
      <c r="C341" s="10">
        <f>J268</f>
        <v>63259.58508127816</v>
      </c>
      <c r="D341" s="10">
        <f aca="true" t="shared" si="163" ref="D341:L341">C341+(($M341-$C341)/10)</f>
        <v>62679.98491961437</v>
      </c>
      <c r="E341" s="10">
        <f t="shared" si="163"/>
        <v>62100.38475795058</v>
      </c>
      <c r="F341" s="10">
        <f t="shared" si="163"/>
        <v>61520.784596286794</v>
      </c>
      <c r="G341" s="10">
        <f t="shared" si="163"/>
        <v>60941.18443462301</v>
      </c>
      <c r="H341" s="10">
        <f t="shared" si="163"/>
        <v>60361.58427295922</v>
      </c>
      <c r="I341" s="10">
        <f t="shared" si="163"/>
        <v>59781.98411129543</v>
      </c>
      <c r="J341" s="10">
        <f t="shared" si="163"/>
        <v>59202.38394963164</v>
      </c>
      <c r="K341" s="1028">
        <f t="shared" si="163"/>
        <v>58622.783787967855</v>
      </c>
      <c r="L341" s="10">
        <f t="shared" si="163"/>
        <v>58043.18362630407</v>
      </c>
      <c r="M341" s="420">
        <f>J269</f>
        <v>57463.583464640265</v>
      </c>
      <c r="N341" s="81"/>
      <c r="O341" s="81"/>
      <c r="P341" s="81"/>
      <c r="Q341" s="81"/>
      <c r="R341" s="82"/>
      <c r="S341" s="82"/>
      <c r="T341" s="82"/>
      <c r="U341" s="82"/>
    </row>
    <row r="342" spans="1:21" s="35" customFormat="1" ht="15">
      <c r="A342" s="688" t="s">
        <v>895</v>
      </c>
      <c r="B342" s="131" t="s">
        <v>0</v>
      </c>
      <c r="C342" s="10">
        <f>N268</f>
        <v>14437.440000000002</v>
      </c>
      <c r="D342" s="10">
        <f aca="true" t="shared" si="164" ref="D342:L342">C342+(($M342-$C342)/10)</f>
        <v>13499.73380032721</v>
      </c>
      <c r="E342" s="10">
        <f t="shared" si="164"/>
        <v>12562.027600654419</v>
      </c>
      <c r="F342" s="10">
        <f t="shared" si="164"/>
        <v>11624.321400981627</v>
      </c>
      <c r="G342" s="10">
        <f t="shared" si="164"/>
        <v>10686.615201308836</v>
      </c>
      <c r="H342" s="10">
        <f t="shared" si="164"/>
        <v>9748.909001636044</v>
      </c>
      <c r="I342" s="10">
        <f t="shared" si="164"/>
        <v>8811.202801963253</v>
      </c>
      <c r="J342" s="10">
        <f t="shared" si="164"/>
        <v>7873.496602290461</v>
      </c>
      <c r="K342" s="1028">
        <f t="shared" si="164"/>
        <v>6935.790402617669</v>
      </c>
      <c r="L342" s="10">
        <f t="shared" si="164"/>
        <v>5998.084202944878</v>
      </c>
      <c r="M342" s="420">
        <f>N269</f>
        <v>5060.378003272087</v>
      </c>
      <c r="N342" s="81"/>
      <c r="O342" s="81"/>
      <c r="P342" s="81"/>
      <c r="Q342" s="81"/>
      <c r="R342" s="82"/>
      <c r="S342" s="82"/>
      <c r="T342" s="82"/>
      <c r="U342" s="82"/>
    </row>
    <row r="343" spans="1:21" s="35" customFormat="1" ht="15">
      <c r="A343" s="688" t="s">
        <v>896</v>
      </c>
      <c r="B343" s="131" t="s">
        <v>2</v>
      </c>
      <c r="C343" s="10">
        <f>P268</f>
        <v>13717071.9</v>
      </c>
      <c r="D343" s="10">
        <f aca="true" t="shared" si="165" ref="D343:L343">C343+(($M343-$C343)/10)</f>
        <v>13596361.66728</v>
      </c>
      <c r="E343" s="10">
        <f t="shared" si="165"/>
        <v>13475651.434559999</v>
      </c>
      <c r="F343" s="10">
        <f t="shared" si="165"/>
        <v>13354941.201839998</v>
      </c>
      <c r="G343" s="10">
        <f t="shared" si="165"/>
        <v>13234230.969119998</v>
      </c>
      <c r="H343" s="10">
        <f t="shared" si="165"/>
        <v>13113520.736399997</v>
      </c>
      <c r="I343" s="10">
        <f t="shared" si="165"/>
        <v>12992810.503679996</v>
      </c>
      <c r="J343" s="10">
        <f t="shared" si="165"/>
        <v>12872100.270959996</v>
      </c>
      <c r="K343" s="1028">
        <f t="shared" si="165"/>
        <v>12751390.038239995</v>
      </c>
      <c r="L343" s="10">
        <f t="shared" si="165"/>
        <v>12630679.805519994</v>
      </c>
      <c r="M343" s="420">
        <f>P269</f>
        <v>12509969.572800001</v>
      </c>
      <c r="N343" s="81"/>
      <c r="O343" s="81"/>
      <c r="P343" s="81"/>
      <c r="Q343" s="81"/>
      <c r="R343" s="82"/>
      <c r="S343" s="82"/>
      <c r="T343" s="82"/>
      <c r="U343" s="82"/>
    </row>
    <row r="344" spans="1:19" s="169" customFormat="1" ht="15.75">
      <c r="A344" s="615" t="s">
        <v>897</v>
      </c>
      <c r="B344" s="574" t="s">
        <v>898</v>
      </c>
      <c r="C344" s="410"/>
      <c r="D344" s="410"/>
      <c r="E344" s="410"/>
      <c r="F344" s="410"/>
      <c r="G344" s="410"/>
      <c r="H344" s="410"/>
      <c r="I344" s="410"/>
      <c r="J344" s="410"/>
      <c r="K344" s="415"/>
      <c r="L344" s="410"/>
      <c r="M344" s="593"/>
      <c r="N344" s="665"/>
      <c r="O344" s="665"/>
      <c r="P344" s="665"/>
      <c r="Q344" s="98"/>
      <c r="R344" s="168"/>
      <c r="S344" s="586"/>
    </row>
    <row r="345" spans="1:27" s="42" customFormat="1" ht="15">
      <c r="A345" s="1087" t="s">
        <v>498</v>
      </c>
      <c r="B345" s="1088"/>
      <c r="C345" s="1089"/>
      <c r="D345" s="1089"/>
      <c r="E345" s="1089"/>
      <c r="F345" s="1089"/>
      <c r="G345" s="1089"/>
      <c r="H345" s="1089"/>
      <c r="I345" s="1089"/>
      <c r="J345" s="1089"/>
      <c r="K345" s="1089"/>
      <c r="L345" s="1089"/>
      <c r="M345" s="1090"/>
      <c r="N345" s="12"/>
      <c r="O345" s="12"/>
      <c r="P345" s="12"/>
      <c r="Q345" s="12"/>
      <c r="R345" s="12"/>
      <c r="X345" s="82"/>
      <c r="Y345" s="82"/>
      <c r="Z345" s="82"/>
      <c r="AA345" s="82"/>
    </row>
    <row r="346" spans="1:27" s="42" customFormat="1" ht="15">
      <c r="A346" s="872" t="s">
        <v>883</v>
      </c>
      <c r="B346" s="151" t="s">
        <v>563</v>
      </c>
      <c r="C346" s="903">
        <f>C347+C348</f>
        <v>-158645.2092990155</v>
      </c>
      <c r="D346" s="903">
        <f aca="true" t="shared" si="166" ref="D346:M346">D347+D348</f>
        <v>-161882.86663164847</v>
      </c>
      <c r="E346" s="903">
        <f t="shared" si="166"/>
        <v>-165186.59860372293</v>
      </c>
      <c r="F346" s="903">
        <f t="shared" si="166"/>
        <v>-168557.7536772683</v>
      </c>
      <c r="G346" s="903">
        <f t="shared" si="166"/>
        <v>-171997.70783394726</v>
      </c>
      <c r="H346" s="903">
        <f t="shared" si="166"/>
        <v>-175437.66199062622</v>
      </c>
      <c r="I346" s="903">
        <f t="shared" si="166"/>
        <v>-178946.41523043875</v>
      </c>
      <c r="J346" s="903">
        <f t="shared" si="166"/>
        <v>-182525.34353504752</v>
      </c>
      <c r="K346" s="903">
        <f t="shared" si="166"/>
        <v>-186175.85040574847</v>
      </c>
      <c r="L346" s="903">
        <f t="shared" si="166"/>
        <v>-189899.36741386345</v>
      </c>
      <c r="M346" s="903">
        <f t="shared" si="166"/>
        <v>-193697.35476214072</v>
      </c>
      <c r="N346" s="12"/>
      <c r="O346" s="12"/>
      <c r="P346" s="12"/>
      <c r="Q346" s="12"/>
      <c r="R346" s="12"/>
      <c r="X346" s="82"/>
      <c r="Y346" s="82"/>
      <c r="Z346" s="82"/>
      <c r="AA346" s="82"/>
    </row>
    <row r="347" spans="1:21" s="41" customFormat="1" ht="15">
      <c r="A347" s="142" t="str">
        <f>A274</f>
        <v>f71</v>
      </c>
      <c r="B347" s="235" t="s">
        <v>855</v>
      </c>
      <c r="C347" s="38">
        <f>0.98*D347</f>
        <v>23362.382042400157</v>
      </c>
      <c r="D347" s="38">
        <f>0.98*E347</f>
        <v>23839.165349387917</v>
      </c>
      <c r="E347" s="38">
        <f>0.98*F347</f>
        <v>24325.678927946854</v>
      </c>
      <c r="F347" s="38">
        <f>0.98*G347</f>
        <v>24822.12135504781</v>
      </c>
      <c r="G347" s="38">
        <f>Q274</f>
        <v>25328.69526025287</v>
      </c>
      <c r="H347" s="38">
        <f aca="true" t="shared" si="167" ref="H347:M347">1.02*G347</f>
        <v>25835.26916545793</v>
      </c>
      <c r="I347" s="38">
        <f t="shared" si="167"/>
        <v>26351.974548767088</v>
      </c>
      <c r="J347" s="38">
        <f t="shared" si="167"/>
        <v>26879.01403974243</v>
      </c>
      <c r="K347" s="38">
        <f t="shared" si="167"/>
        <v>27416.59432053728</v>
      </c>
      <c r="L347" s="38">
        <f t="shared" si="167"/>
        <v>27964.926206948025</v>
      </c>
      <c r="M347" s="873">
        <f t="shared" si="167"/>
        <v>28524.224731086986</v>
      </c>
      <c r="N347" s="84"/>
      <c r="O347" s="84"/>
      <c r="P347" s="84"/>
      <c r="Q347" s="84"/>
      <c r="R347" s="66"/>
      <c r="S347" s="66"/>
      <c r="T347" s="66"/>
      <c r="U347" s="66"/>
    </row>
    <row r="348" spans="1:21" s="123" customFormat="1" ht="15">
      <c r="A348" s="874" t="str">
        <f>A279</f>
        <v>F9</v>
      </c>
      <c r="B348" s="875" t="s">
        <v>856</v>
      </c>
      <c r="C348" s="487">
        <f>-C374</f>
        <v>-182007.59134141565</v>
      </c>
      <c r="D348" s="487">
        <f aca="true" t="shared" si="168" ref="D348:M348">-D374</f>
        <v>-185722.0319810364</v>
      </c>
      <c r="E348" s="487">
        <f t="shared" si="168"/>
        <v>-189512.2775316698</v>
      </c>
      <c r="F348" s="487">
        <f t="shared" si="168"/>
        <v>-193379.8750323161</v>
      </c>
      <c r="G348" s="487">
        <f t="shared" si="168"/>
        <v>-197326.40309420013</v>
      </c>
      <c r="H348" s="487">
        <f t="shared" si="168"/>
        <v>-201272.93115608415</v>
      </c>
      <c r="I348" s="487">
        <f t="shared" si="168"/>
        <v>-205298.38977920584</v>
      </c>
      <c r="J348" s="487">
        <f t="shared" si="168"/>
        <v>-209404.35757478996</v>
      </c>
      <c r="K348" s="487">
        <f t="shared" si="168"/>
        <v>-213592.44472628576</v>
      </c>
      <c r="L348" s="487">
        <f t="shared" si="168"/>
        <v>-217864.29362081148</v>
      </c>
      <c r="M348" s="487">
        <f t="shared" si="168"/>
        <v>-222221.5794932277</v>
      </c>
      <c r="N348" s="488"/>
      <c r="O348" s="488"/>
      <c r="P348" s="488"/>
      <c r="Q348" s="488"/>
      <c r="R348" s="124"/>
      <c r="S348" s="124"/>
      <c r="T348" s="124"/>
      <c r="U348" s="124"/>
    </row>
    <row r="349" spans="1:19" s="169" customFormat="1" ht="15.75">
      <c r="A349" s="615" t="s">
        <v>884</v>
      </c>
      <c r="B349" s="574" t="s">
        <v>564</v>
      </c>
      <c r="C349" s="903">
        <f>C350+C351</f>
        <v>34289.15906099863</v>
      </c>
      <c r="D349" s="903">
        <f aca="true" t="shared" si="169" ref="D349:M349">D350+D351</f>
        <v>34988.93781734554</v>
      </c>
      <c r="E349" s="903">
        <f t="shared" si="169"/>
        <v>35702.997772801566</v>
      </c>
      <c r="F349" s="903">
        <f t="shared" si="169"/>
        <v>36431.63038040976</v>
      </c>
      <c r="G349" s="903">
        <f t="shared" si="169"/>
        <v>37175.133041234454</v>
      </c>
      <c r="H349" s="903">
        <f t="shared" si="169"/>
        <v>37918.63570205914</v>
      </c>
      <c r="I349" s="903">
        <f t="shared" si="169"/>
        <v>38677.00841610032</v>
      </c>
      <c r="J349" s="903">
        <f t="shared" si="169"/>
        <v>39450.54858442233</v>
      </c>
      <c r="K349" s="903">
        <f t="shared" si="169"/>
        <v>40239.55955611078</v>
      </c>
      <c r="L349" s="903">
        <f t="shared" si="169"/>
        <v>41044.35074723299</v>
      </c>
      <c r="M349" s="903">
        <f t="shared" si="169"/>
        <v>41865.237762177654</v>
      </c>
      <c r="N349" s="665"/>
      <c r="O349" s="665"/>
      <c r="P349" s="665"/>
      <c r="Q349" s="98"/>
      <c r="R349" s="168"/>
      <c r="S349" s="586"/>
    </row>
    <row r="350" spans="1:21" s="41" customFormat="1" ht="15">
      <c r="A350" s="142" t="str">
        <f>A275</f>
        <v>f72</v>
      </c>
      <c r="B350" s="235" t="s">
        <v>857</v>
      </c>
      <c r="C350" s="38">
        <f aca="true" t="shared" si="170" ref="C350:F351">0.98*D350</f>
        <v>54512.22476560037</v>
      </c>
      <c r="D350" s="38">
        <f t="shared" si="170"/>
        <v>55624.71914857181</v>
      </c>
      <c r="E350" s="38">
        <f t="shared" si="170"/>
        <v>56759.91749854266</v>
      </c>
      <c r="F350" s="38">
        <f t="shared" si="170"/>
        <v>57918.28316177822</v>
      </c>
      <c r="G350" s="44">
        <f>Q275</f>
        <v>59100.28894059002</v>
      </c>
      <c r="H350" s="38">
        <f aca="true" t="shared" si="171" ref="H350:M351">1.02*G350</f>
        <v>60282.29471940182</v>
      </c>
      <c r="I350" s="38">
        <f t="shared" si="171"/>
        <v>61487.940613789855</v>
      </c>
      <c r="J350" s="38">
        <f t="shared" si="171"/>
        <v>62717.69942606565</v>
      </c>
      <c r="K350" s="38">
        <f t="shared" si="171"/>
        <v>63972.05341458697</v>
      </c>
      <c r="L350" s="38">
        <f t="shared" si="171"/>
        <v>65251.494482878705</v>
      </c>
      <c r="M350" s="38">
        <f t="shared" si="171"/>
        <v>66556.52437253628</v>
      </c>
      <c r="N350" s="84"/>
      <c r="O350" s="84"/>
      <c r="P350" s="84"/>
      <c r="Q350" s="84"/>
      <c r="R350" s="66"/>
      <c r="S350" s="66"/>
      <c r="T350" s="66"/>
      <c r="U350" s="66"/>
    </row>
    <row r="351" spans="1:21" s="41" customFormat="1" ht="15">
      <c r="A351" s="142" t="s">
        <v>479</v>
      </c>
      <c r="B351" s="235" t="s">
        <v>858</v>
      </c>
      <c r="C351" s="38">
        <f t="shared" si="170"/>
        <v>-20223.06570460174</v>
      </c>
      <c r="D351" s="38">
        <f t="shared" si="170"/>
        <v>-20635.781331226266</v>
      </c>
      <c r="E351" s="38">
        <f t="shared" si="170"/>
        <v>-21056.91972574109</v>
      </c>
      <c r="F351" s="38">
        <f t="shared" si="170"/>
        <v>-21486.65278136846</v>
      </c>
      <c r="G351" s="38">
        <f>-Q278</f>
        <v>-21925.15589935557</v>
      </c>
      <c r="H351" s="38">
        <f t="shared" si="171"/>
        <v>-22363.65901734268</v>
      </c>
      <c r="I351" s="38">
        <f t="shared" si="171"/>
        <v>-22810.932197689533</v>
      </c>
      <c r="J351" s="38">
        <f t="shared" si="171"/>
        <v>-23267.150841643324</v>
      </c>
      <c r="K351" s="38">
        <f t="shared" si="171"/>
        <v>-23732.49385847619</v>
      </c>
      <c r="L351" s="38">
        <f t="shared" si="171"/>
        <v>-24207.143735645717</v>
      </c>
      <c r="M351" s="38">
        <f t="shared" si="171"/>
        <v>-24691.28661035863</v>
      </c>
      <c r="N351" s="84"/>
      <c r="O351" s="84"/>
      <c r="P351" s="84"/>
      <c r="Q351" s="84"/>
      <c r="R351" s="66"/>
      <c r="S351" s="66"/>
      <c r="T351" s="66"/>
      <c r="U351" s="66"/>
    </row>
    <row r="352" spans="1:19" s="169" customFormat="1" ht="15.75">
      <c r="A352" s="295" t="s">
        <v>568</v>
      </c>
      <c r="B352" s="574" t="s">
        <v>567</v>
      </c>
      <c r="C352" s="904">
        <f>C346+C349</f>
        <v>-124356.05023801686</v>
      </c>
      <c r="D352" s="904">
        <f aca="true" t="shared" si="172" ref="D352:M352">D346+D349</f>
        <v>-126893.92881430293</v>
      </c>
      <c r="E352" s="904">
        <f t="shared" si="172"/>
        <v>-129483.60083092136</v>
      </c>
      <c r="F352" s="904">
        <f t="shared" si="172"/>
        <v>-132126.12329685854</v>
      </c>
      <c r="G352" s="904">
        <f t="shared" si="172"/>
        <v>-134822.5747927128</v>
      </c>
      <c r="H352" s="904">
        <f t="shared" si="172"/>
        <v>-137519.02628856708</v>
      </c>
      <c r="I352" s="904">
        <f t="shared" si="172"/>
        <v>-140269.40681433844</v>
      </c>
      <c r="J352" s="904">
        <f t="shared" si="172"/>
        <v>-143074.7949506252</v>
      </c>
      <c r="K352" s="904">
        <f t="shared" si="172"/>
        <v>-145936.2908496377</v>
      </c>
      <c r="L352" s="904">
        <f t="shared" si="172"/>
        <v>-148855.01666663046</v>
      </c>
      <c r="M352" s="904">
        <f t="shared" si="172"/>
        <v>-151832.11699996307</v>
      </c>
      <c r="N352" s="665"/>
      <c r="O352" s="665"/>
      <c r="P352" s="665"/>
      <c r="Q352" s="98"/>
      <c r="R352" s="168"/>
      <c r="S352" s="586"/>
    </row>
    <row r="353" spans="1:21" s="35" customFormat="1" ht="15">
      <c r="A353" s="688" t="s">
        <v>899</v>
      </c>
      <c r="B353" s="131" t="s">
        <v>493</v>
      </c>
      <c r="C353" s="10">
        <f aca="true" t="shared" si="173" ref="C353:E356">0.98*D353</f>
        <v>-11617.259914236383</v>
      </c>
      <c r="D353" s="10">
        <f t="shared" si="173"/>
        <v>-11854.346851261616</v>
      </c>
      <c r="E353" s="10">
        <f t="shared" si="173"/>
        <v>-12096.27229720573</v>
      </c>
      <c r="F353" s="10">
        <f>0.98*G353</f>
        <v>-12343.134997148705</v>
      </c>
      <c r="G353" s="10">
        <f aca="true" t="shared" si="174" ref="G353:M353">G340-F340</f>
        <v>-12595.03571137623</v>
      </c>
      <c r="H353" s="10">
        <f t="shared" si="174"/>
        <v>-12595.03571137623</v>
      </c>
      <c r="I353" s="10">
        <f t="shared" si="174"/>
        <v>-12595.03571137623</v>
      </c>
      <c r="J353" s="10">
        <f t="shared" si="174"/>
        <v>-12595.03571137623</v>
      </c>
      <c r="K353" s="10">
        <f t="shared" si="174"/>
        <v>-12595.03571137623</v>
      </c>
      <c r="L353" s="10">
        <f t="shared" si="174"/>
        <v>-12595.03571137623</v>
      </c>
      <c r="M353" s="420">
        <f t="shared" si="174"/>
        <v>-12595.035711376695</v>
      </c>
      <c r="N353" s="81"/>
      <c r="O353" s="81"/>
      <c r="P353" s="81"/>
      <c r="Q353" s="81"/>
      <c r="R353" s="82"/>
      <c r="S353" s="82"/>
      <c r="T353" s="82"/>
      <c r="U353" s="82"/>
    </row>
    <row r="354" spans="1:21" s="35" customFormat="1" ht="15">
      <c r="A354" s="688" t="s">
        <v>900</v>
      </c>
      <c r="B354" s="131" t="s">
        <v>494</v>
      </c>
      <c r="C354" s="10">
        <f t="shared" si="173"/>
        <v>-534.6047346495303</v>
      </c>
      <c r="D354" s="10">
        <f t="shared" si="173"/>
        <v>-545.5150353566636</v>
      </c>
      <c r="E354" s="10">
        <f t="shared" si="173"/>
        <v>-556.6479952619017</v>
      </c>
      <c r="F354" s="10">
        <f>0.98*G354</f>
        <v>-568.0081584305119</v>
      </c>
      <c r="G354" s="10">
        <f aca="true" t="shared" si="175" ref="G354:M354">G341-F341</f>
        <v>-579.6001616637877</v>
      </c>
      <c r="H354" s="10">
        <f t="shared" si="175"/>
        <v>-579.6001616637877</v>
      </c>
      <c r="I354" s="10">
        <f t="shared" si="175"/>
        <v>-579.6001616637877</v>
      </c>
      <c r="J354" s="10">
        <f t="shared" si="175"/>
        <v>-579.6001616637877</v>
      </c>
      <c r="K354" s="10">
        <f t="shared" si="175"/>
        <v>-579.6001616637877</v>
      </c>
      <c r="L354" s="10">
        <f t="shared" si="175"/>
        <v>-579.6001616637877</v>
      </c>
      <c r="M354" s="420">
        <f t="shared" si="175"/>
        <v>-579.6001616638023</v>
      </c>
      <c r="N354" s="81"/>
      <c r="O354" s="81"/>
      <c r="P354" s="81"/>
      <c r="Q354" s="81"/>
      <c r="R354" s="82"/>
      <c r="S354" s="82"/>
      <c r="T354" s="82"/>
      <c r="U354" s="82"/>
    </row>
    <row r="355" spans="1:21" s="35" customFormat="1" ht="15">
      <c r="A355" s="688" t="s">
        <v>901</v>
      </c>
      <c r="B355" s="131" t="s">
        <v>0</v>
      </c>
      <c r="C355" s="10">
        <f t="shared" si="173"/>
        <v>-864.9103420127853</v>
      </c>
      <c r="D355" s="10">
        <f t="shared" si="173"/>
        <v>-882.561573482434</v>
      </c>
      <c r="E355" s="10">
        <f t="shared" si="173"/>
        <v>-900.573034165749</v>
      </c>
      <c r="F355" s="10">
        <f>0.98*G355</f>
        <v>-918.9520756793357</v>
      </c>
      <c r="G355" s="10">
        <f aca="true" t="shared" si="176" ref="G355:M355">G342-F342</f>
        <v>-937.7061996727916</v>
      </c>
      <c r="H355" s="10">
        <f t="shared" si="176"/>
        <v>-937.7061996727916</v>
      </c>
      <c r="I355" s="10">
        <f t="shared" si="176"/>
        <v>-937.7061996727916</v>
      </c>
      <c r="J355" s="10">
        <f t="shared" si="176"/>
        <v>-937.7061996727916</v>
      </c>
      <c r="K355" s="10">
        <f t="shared" si="176"/>
        <v>-937.7061996727916</v>
      </c>
      <c r="L355" s="10">
        <f t="shared" si="176"/>
        <v>-937.7061996727916</v>
      </c>
      <c r="M355" s="420">
        <f t="shared" si="176"/>
        <v>-937.7061996727907</v>
      </c>
      <c r="N355" s="81"/>
      <c r="O355" s="81"/>
      <c r="P355" s="81"/>
      <c r="Q355" s="81"/>
      <c r="R355" s="82"/>
      <c r="S355" s="82"/>
      <c r="T355" s="82"/>
      <c r="U355" s="82"/>
    </row>
    <row r="356" spans="1:21" s="35" customFormat="1" ht="15">
      <c r="A356" s="688" t="s">
        <v>902</v>
      </c>
      <c r="B356" s="131" t="s">
        <v>2</v>
      </c>
      <c r="C356" s="10">
        <f t="shared" si="173"/>
        <v>-111339.2752471188</v>
      </c>
      <c r="D356" s="10">
        <f t="shared" si="173"/>
        <v>-113611.50535420286</v>
      </c>
      <c r="E356" s="10">
        <f t="shared" si="173"/>
        <v>-115930.10750428864</v>
      </c>
      <c r="F356" s="10">
        <f>0.98*G356</f>
        <v>-118296.02806560065</v>
      </c>
      <c r="G356" s="10">
        <f aca="true" t="shared" si="177" ref="G356:M356">G343-F343</f>
        <v>-120710.23272000067</v>
      </c>
      <c r="H356" s="10">
        <f t="shared" si="177"/>
        <v>-120710.23272000067</v>
      </c>
      <c r="I356" s="10">
        <f t="shared" si="177"/>
        <v>-120710.23272000067</v>
      </c>
      <c r="J356" s="10">
        <f t="shared" si="177"/>
        <v>-120710.23272000067</v>
      </c>
      <c r="K356" s="10">
        <f t="shared" si="177"/>
        <v>-120710.23272000067</v>
      </c>
      <c r="L356" s="10">
        <f t="shared" si="177"/>
        <v>-120710.23272000067</v>
      </c>
      <c r="M356" s="420">
        <f t="shared" si="177"/>
        <v>-120710.23271999322</v>
      </c>
      <c r="N356" s="81"/>
      <c r="O356" s="81"/>
      <c r="P356" s="81"/>
      <c r="Q356" s="81"/>
      <c r="R356" s="82"/>
      <c r="S356" s="82"/>
      <c r="T356" s="82"/>
      <c r="U356" s="82"/>
    </row>
    <row r="357" spans="1:21" s="35" customFormat="1" ht="15">
      <c r="A357" s="1091" t="s">
        <v>569</v>
      </c>
      <c r="B357" s="1092"/>
      <c r="C357" s="905">
        <f>$G352-C352</f>
        <v>-10466.524554695949</v>
      </c>
      <c r="D357" s="905">
        <f aca="true" t="shared" si="178" ref="D357:M357">$G352-D352</f>
        <v>-7928.645978409884</v>
      </c>
      <c r="E357" s="905">
        <f t="shared" si="178"/>
        <v>-5338.973961791446</v>
      </c>
      <c r="F357" s="905">
        <f t="shared" si="178"/>
        <v>-2696.4514958542713</v>
      </c>
      <c r="G357" s="905">
        <f t="shared" si="178"/>
        <v>0</v>
      </c>
      <c r="H357" s="905">
        <f t="shared" si="178"/>
        <v>2696.4514958542713</v>
      </c>
      <c r="I357" s="905">
        <f t="shared" si="178"/>
        <v>5446.832021625625</v>
      </c>
      <c r="J357" s="905">
        <f t="shared" si="178"/>
        <v>8252.22015791238</v>
      </c>
      <c r="K357" s="905">
        <f t="shared" si="178"/>
        <v>11113.716056924895</v>
      </c>
      <c r="L357" s="905">
        <f t="shared" si="178"/>
        <v>14032.441873917647</v>
      </c>
      <c r="M357" s="905">
        <f t="shared" si="178"/>
        <v>17009.542207250255</v>
      </c>
      <c r="N357" s="81"/>
      <c r="O357" s="81"/>
      <c r="P357" s="81"/>
      <c r="Q357" s="81"/>
      <c r="R357" s="82"/>
      <c r="S357" s="82"/>
      <c r="T357" s="82"/>
      <c r="U357" s="82"/>
    </row>
    <row r="358" spans="1:19" s="169" customFormat="1" ht="15.75">
      <c r="A358" s="615" t="s">
        <v>568</v>
      </c>
      <c r="B358" s="600" t="s">
        <v>907</v>
      </c>
      <c r="C358" s="692"/>
      <c r="D358" s="692"/>
      <c r="E358" s="692"/>
      <c r="F358" s="692"/>
      <c r="G358" s="692"/>
      <c r="H358" s="692"/>
      <c r="I358" s="692"/>
      <c r="J358" s="692"/>
      <c r="K358" s="692"/>
      <c r="L358" s="692"/>
      <c r="M358" s="693"/>
      <c r="N358" s="665"/>
      <c r="O358" s="665"/>
      <c r="P358" s="665"/>
      <c r="Q358" s="98"/>
      <c r="R358" s="168"/>
      <c r="S358" s="586"/>
    </row>
    <row r="359" spans="1:19" s="169" customFormat="1" ht="15.75">
      <c r="A359" s="615" t="s">
        <v>911</v>
      </c>
      <c r="B359" s="574" t="s">
        <v>885</v>
      </c>
      <c r="C359" s="410">
        <f aca="true" t="shared" si="179" ref="C359:L359">D339</f>
        <v>14932708.850288566</v>
      </c>
      <c r="D359" s="410">
        <f t="shared" si="179"/>
        <v>14797886.275495853</v>
      </c>
      <c r="E359" s="410">
        <f t="shared" si="179"/>
        <v>14663063.70070314</v>
      </c>
      <c r="F359" s="410">
        <f t="shared" si="179"/>
        <v>14528241.125910427</v>
      </c>
      <c r="G359" s="410">
        <f t="shared" si="179"/>
        <v>14393418.551117714</v>
      </c>
      <c r="H359" s="410">
        <f t="shared" si="179"/>
        <v>14258595.976325002</v>
      </c>
      <c r="I359" s="410">
        <f t="shared" si="179"/>
        <v>14123773.401532289</v>
      </c>
      <c r="J359" s="410">
        <f t="shared" si="179"/>
        <v>13988950.826739576</v>
      </c>
      <c r="K359" s="410">
        <f t="shared" si="179"/>
        <v>13854128.251946863</v>
      </c>
      <c r="L359" s="410">
        <f t="shared" si="179"/>
        <v>13719305.67715415</v>
      </c>
      <c r="M359" s="593"/>
      <c r="N359" s="665"/>
      <c r="O359" s="665"/>
      <c r="P359" s="665"/>
      <c r="Q359" s="98"/>
      <c r="R359" s="168"/>
      <c r="S359" s="586"/>
    </row>
    <row r="360" spans="1:19" s="169" customFormat="1" ht="15.75">
      <c r="A360" s="615" t="s">
        <v>910</v>
      </c>
      <c r="B360" s="574" t="s">
        <v>892</v>
      </c>
      <c r="C360" s="410">
        <f>Q289</f>
        <v>0</v>
      </c>
      <c r="D360" s="410">
        <f aca="true" t="shared" si="180" ref="D360:L360">C360+(($M360-$C360)/10)</f>
        <v>431949.75264976546</v>
      </c>
      <c r="E360" s="410">
        <f t="shared" si="180"/>
        <v>863899.5052995309</v>
      </c>
      <c r="F360" s="410">
        <f t="shared" si="180"/>
        <v>1295849.2579492964</v>
      </c>
      <c r="G360" s="410">
        <f t="shared" si="180"/>
        <v>1727799.0105990618</v>
      </c>
      <c r="H360" s="410">
        <f t="shared" si="180"/>
        <v>2159748.7632488273</v>
      </c>
      <c r="I360" s="410">
        <f t="shared" si="180"/>
        <v>2591698.515898593</v>
      </c>
      <c r="J360" s="410">
        <f t="shared" si="180"/>
        <v>3023648.268548358</v>
      </c>
      <c r="K360" s="593">
        <f t="shared" si="180"/>
        <v>3455598.0211981237</v>
      </c>
      <c r="L360" s="414">
        <f t="shared" si="180"/>
        <v>3887547.773847889</v>
      </c>
      <c r="M360" s="593">
        <f>Q290</f>
        <v>4319497.526497655</v>
      </c>
      <c r="N360" s="665"/>
      <c r="O360" s="665"/>
      <c r="P360" s="665"/>
      <c r="Q360" s="98"/>
      <c r="R360" s="168"/>
      <c r="S360" s="586"/>
    </row>
    <row r="361" spans="1:21" s="681" customFormat="1" ht="15">
      <c r="A361" s="72" t="s">
        <v>903</v>
      </c>
      <c r="B361" s="111" t="s">
        <v>493</v>
      </c>
      <c r="C361" s="133">
        <f aca="true" t="shared" si="181" ref="C361:L361">D340</f>
        <v>1260167.4642886238</v>
      </c>
      <c r="D361" s="133">
        <f t="shared" si="181"/>
        <v>1247572.4285772475</v>
      </c>
      <c r="E361" s="133">
        <f t="shared" si="181"/>
        <v>1234977.3928658713</v>
      </c>
      <c r="F361" s="133">
        <f t="shared" si="181"/>
        <v>1222382.357154495</v>
      </c>
      <c r="G361" s="133">
        <f t="shared" si="181"/>
        <v>1209787.3214431189</v>
      </c>
      <c r="H361" s="133">
        <f t="shared" si="181"/>
        <v>1197192.2857317426</v>
      </c>
      <c r="I361" s="133">
        <f t="shared" si="181"/>
        <v>1184597.2500203664</v>
      </c>
      <c r="J361" s="133">
        <f t="shared" si="181"/>
        <v>1172002.2143089902</v>
      </c>
      <c r="K361" s="133">
        <f t="shared" si="181"/>
        <v>1159407.178597614</v>
      </c>
      <c r="L361" s="133">
        <f t="shared" si="181"/>
        <v>1146812.1428862372</v>
      </c>
      <c r="M361" s="690"/>
      <c r="N361" s="686"/>
      <c r="O361" s="686"/>
      <c r="P361" s="686"/>
      <c r="Q361" s="686"/>
      <c r="R361" s="682"/>
      <c r="S361" s="682"/>
      <c r="T361" s="682"/>
      <c r="U361" s="682"/>
    </row>
    <row r="362" spans="1:21" s="683" customFormat="1" ht="15">
      <c r="A362" s="72" t="s">
        <v>904</v>
      </c>
      <c r="B362" s="111" t="s">
        <v>494</v>
      </c>
      <c r="C362" s="133">
        <f aca="true" t="shared" si="182" ref="C362:L362">D341</f>
        <v>62679.98491961437</v>
      </c>
      <c r="D362" s="133">
        <f t="shared" si="182"/>
        <v>62100.38475795058</v>
      </c>
      <c r="E362" s="133">
        <f t="shared" si="182"/>
        <v>61520.784596286794</v>
      </c>
      <c r="F362" s="133">
        <f t="shared" si="182"/>
        <v>60941.18443462301</v>
      </c>
      <c r="G362" s="133">
        <f t="shared" si="182"/>
        <v>60361.58427295922</v>
      </c>
      <c r="H362" s="133">
        <f t="shared" si="182"/>
        <v>59781.98411129543</v>
      </c>
      <c r="I362" s="133">
        <f t="shared" si="182"/>
        <v>59202.38394963164</v>
      </c>
      <c r="J362" s="133">
        <f t="shared" si="182"/>
        <v>58622.783787967855</v>
      </c>
      <c r="K362" s="133">
        <f t="shared" si="182"/>
        <v>58043.18362630407</v>
      </c>
      <c r="L362" s="133">
        <f t="shared" si="182"/>
        <v>57463.583464640265</v>
      </c>
      <c r="M362" s="690"/>
      <c r="N362" s="687"/>
      <c r="O362" s="687"/>
      <c r="P362" s="687"/>
      <c r="Q362" s="687"/>
      <c r="R362" s="684"/>
      <c r="S362" s="684"/>
      <c r="T362" s="684"/>
      <c r="U362" s="684"/>
    </row>
    <row r="363" spans="1:21" s="683" customFormat="1" ht="15">
      <c r="A363" s="72" t="s">
        <v>905</v>
      </c>
      <c r="B363" s="111" t="s">
        <v>0</v>
      </c>
      <c r="C363" s="133">
        <f aca="true" t="shared" si="183" ref="C363:L363">D342</f>
        <v>13499.73380032721</v>
      </c>
      <c r="D363" s="133">
        <f t="shared" si="183"/>
        <v>12562.027600654419</v>
      </c>
      <c r="E363" s="133">
        <f t="shared" si="183"/>
        <v>11624.321400981627</v>
      </c>
      <c r="F363" s="133">
        <f t="shared" si="183"/>
        <v>10686.615201308836</v>
      </c>
      <c r="G363" s="133">
        <f t="shared" si="183"/>
        <v>9748.909001636044</v>
      </c>
      <c r="H363" s="133">
        <f t="shared" si="183"/>
        <v>8811.202801963253</v>
      </c>
      <c r="I363" s="133">
        <f t="shared" si="183"/>
        <v>7873.496602290461</v>
      </c>
      <c r="J363" s="133">
        <f t="shared" si="183"/>
        <v>6935.790402617669</v>
      </c>
      <c r="K363" s="133">
        <f t="shared" si="183"/>
        <v>5998.084202944878</v>
      </c>
      <c r="L363" s="133">
        <f t="shared" si="183"/>
        <v>5060.378003272087</v>
      </c>
      <c r="M363" s="690"/>
      <c r="N363" s="687"/>
      <c r="O363" s="687"/>
      <c r="P363" s="687"/>
      <c r="Q363" s="687"/>
      <c r="R363" s="684"/>
      <c r="S363" s="684"/>
      <c r="T363" s="684"/>
      <c r="U363" s="684"/>
    </row>
    <row r="364" spans="1:21" s="683" customFormat="1" ht="15">
      <c r="A364" s="72" t="s">
        <v>906</v>
      </c>
      <c r="B364" s="111" t="s">
        <v>2</v>
      </c>
      <c r="C364" s="133">
        <f aca="true" t="shared" si="184" ref="C364:L364">D343</f>
        <v>13596361.66728</v>
      </c>
      <c r="D364" s="133">
        <f t="shared" si="184"/>
        <v>13475651.434559999</v>
      </c>
      <c r="E364" s="133">
        <f t="shared" si="184"/>
        <v>13354941.201839998</v>
      </c>
      <c r="F364" s="133">
        <f t="shared" si="184"/>
        <v>13234230.969119998</v>
      </c>
      <c r="G364" s="133">
        <f t="shared" si="184"/>
        <v>13113520.736399997</v>
      </c>
      <c r="H364" s="133">
        <f t="shared" si="184"/>
        <v>12992810.503679996</v>
      </c>
      <c r="I364" s="133">
        <f t="shared" si="184"/>
        <v>12872100.270959996</v>
      </c>
      <c r="J364" s="133">
        <f t="shared" si="184"/>
        <v>12751390.038239995</v>
      </c>
      <c r="K364" s="133">
        <f t="shared" si="184"/>
        <v>12630679.805519994</v>
      </c>
      <c r="L364" s="133">
        <f t="shared" si="184"/>
        <v>12509969.572800001</v>
      </c>
      <c r="M364" s="690"/>
      <c r="N364" s="687"/>
      <c r="O364" s="687"/>
      <c r="P364" s="687"/>
      <c r="Q364" s="687"/>
      <c r="R364" s="684"/>
      <c r="S364" s="684"/>
      <c r="T364" s="684"/>
      <c r="U364" s="684"/>
    </row>
    <row r="365" spans="1:19" s="169" customFormat="1" ht="16.5" thickBot="1">
      <c r="A365" s="615" t="s">
        <v>897</v>
      </c>
      <c r="B365" s="660" t="s">
        <v>898</v>
      </c>
      <c r="C365" s="410"/>
      <c r="D365" s="410"/>
      <c r="E365" s="410"/>
      <c r="F365" s="410"/>
      <c r="G365" s="410"/>
      <c r="H365" s="410"/>
      <c r="I365" s="410"/>
      <c r="J365" s="410"/>
      <c r="K365" s="415"/>
      <c r="L365" s="1029"/>
      <c r="M365" s="662"/>
      <c r="N365" s="665"/>
      <c r="O365" s="665"/>
      <c r="P365" s="665"/>
      <c r="Q365" s="98"/>
      <c r="R365" s="168"/>
      <c r="S365" s="586"/>
    </row>
    <row r="366" spans="1:18" s="689" customFormat="1" ht="18.75">
      <c r="A366" s="1050" t="s">
        <v>872</v>
      </c>
      <c r="B366" s="1051"/>
      <c r="C366" s="1051"/>
      <c r="D366" s="1051"/>
      <c r="E366" s="1051"/>
      <c r="F366" s="1051"/>
      <c r="G366" s="1051"/>
      <c r="H366" s="1051"/>
      <c r="I366" s="1051"/>
      <c r="J366" s="1051"/>
      <c r="K366" s="1051"/>
      <c r="L366" s="1051"/>
      <c r="M366" s="1052"/>
      <c r="N366" s="358"/>
      <c r="O366" s="358"/>
      <c r="P366" s="358"/>
      <c r="Q366" s="358"/>
      <c r="R366" s="358"/>
    </row>
    <row r="367" spans="1:18" s="586" customFormat="1" ht="15.75">
      <c r="A367" s="615" t="s">
        <v>570</v>
      </c>
      <c r="B367" s="600" t="s">
        <v>854</v>
      </c>
      <c r="C367" s="412">
        <f>C368+C373-C378</f>
        <v>15703846.32803119</v>
      </c>
      <c r="D367" s="412">
        <f aca="true" t="shared" si="185" ref="D367:L367">D368+D373-D378</f>
        <v>15471505.836725231</v>
      </c>
      <c r="E367" s="412">
        <f t="shared" si="185"/>
        <v>14413173.613353493</v>
      </c>
      <c r="F367" s="412">
        <f t="shared" si="185"/>
        <v>13541063.396962697</v>
      </c>
      <c r="G367" s="412">
        <f t="shared" si="185"/>
        <v>12103522.641403489</v>
      </c>
      <c r="H367" s="412">
        <f t="shared" si="185"/>
        <v>13995924.159295188</v>
      </c>
      <c r="I367" s="412">
        <f t="shared" si="185"/>
        <v>13662499.894585487</v>
      </c>
      <c r="J367" s="412">
        <f t="shared" si="185"/>
        <v>30201745.29536674</v>
      </c>
      <c r="K367" s="412">
        <f t="shared" si="185"/>
        <v>23463915.165558647</v>
      </c>
      <c r="L367" s="412">
        <f t="shared" si="185"/>
        <v>22459712.005437307</v>
      </c>
      <c r="M367" s="411">
        <f>M368+M373-M378</f>
        <v>21655914.194172878</v>
      </c>
      <c r="N367" s="185"/>
      <c r="O367" s="185"/>
      <c r="P367" s="185"/>
      <c r="Q367" s="185"/>
      <c r="R367" s="185"/>
    </row>
    <row r="368" spans="1:19" s="169" customFormat="1" ht="15.75">
      <c r="A368" s="615" t="s">
        <v>571</v>
      </c>
      <c r="B368" s="600" t="s">
        <v>575</v>
      </c>
      <c r="C368" s="692">
        <f>SUM(C369:C372)</f>
        <v>3000001</v>
      </c>
      <c r="D368" s="692">
        <f aca="true" t="shared" si="186" ref="D368:M368">SUM(D369:D372)</f>
        <v>2794249.7863839995</v>
      </c>
      <c r="E368" s="692">
        <f t="shared" si="186"/>
        <v>2692626.1795759983</v>
      </c>
      <c r="F368" s="692">
        <f t="shared" si="186"/>
        <v>2591595.3227679976</v>
      </c>
      <c r="G368" s="692">
        <f t="shared" si="186"/>
        <v>2445418.6081251977</v>
      </c>
      <c r="H368" s="692">
        <f t="shared" si="186"/>
        <v>2322668.7091185465</v>
      </c>
      <c r="I368" s="692">
        <f t="shared" si="186"/>
        <v>2200469.132865802</v>
      </c>
      <c r="J368" s="692">
        <f t="shared" si="186"/>
        <v>17169050.616610125</v>
      </c>
      <c r="K368" s="692">
        <f t="shared" si="186"/>
        <v>9658537.721570365</v>
      </c>
      <c r="L368" s="692">
        <f t="shared" si="186"/>
        <v>9615782.539182346</v>
      </c>
      <c r="M368" s="693">
        <f t="shared" si="186"/>
        <v>9573524.676802969</v>
      </c>
      <c r="N368" s="665"/>
      <c r="O368" s="665"/>
      <c r="P368" s="665"/>
      <c r="Q368" s="98"/>
      <c r="R368" s="168"/>
      <c r="S368" s="586"/>
    </row>
    <row r="369" spans="1:17" s="93" customFormat="1" ht="15">
      <c r="A369" s="125" t="s">
        <v>664</v>
      </c>
      <c r="B369" s="36" t="s">
        <v>506</v>
      </c>
      <c r="C369" s="691">
        <v>1000000</v>
      </c>
      <c r="D369" s="691">
        <f aca="true" t="shared" si="187" ref="D369:I369">C369-$C378</f>
        <v>922125.3931919995</v>
      </c>
      <c r="E369" s="691">
        <f t="shared" si="187"/>
        <v>844250.786383999</v>
      </c>
      <c r="F369" s="691">
        <f t="shared" si="187"/>
        <v>766376.1795759986</v>
      </c>
      <c r="G369" s="691">
        <f t="shared" si="187"/>
        <v>688501.5727679981</v>
      </c>
      <c r="H369" s="691">
        <f t="shared" si="187"/>
        <v>610626.9659599976</v>
      </c>
      <c r="I369" s="691">
        <f t="shared" si="187"/>
        <v>532752.3591519971</v>
      </c>
      <c r="J369" s="691">
        <v>8000000</v>
      </c>
      <c r="K369" s="691">
        <v>8000000</v>
      </c>
      <c r="L369" s="691">
        <v>8000000</v>
      </c>
      <c r="M369" s="699">
        <v>8000000</v>
      </c>
      <c r="N369" s="12"/>
      <c r="O369" s="12"/>
      <c r="P369" s="12"/>
      <c r="Q369" s="12"/>
    </row>
    <row r="370" spans="1:13" s="93" customFormat="1" ht="15">
      <c r="A370" s="125" t="s">
        <v>665</v>
      </c>
      <c r="B370" s="36" t="s">
        <v>507</v>
      </c>
      <c r="C370" s="691">
        <v>1000000</v>
      </c>
      <c r="D370" s="691">
        <v>1000000</v>
      </c>
      <c r="E370" s="691">
        <v>1000000</v>
      </c>
      <c r="F370" s="691">
        <v>1000000</v>
      </c>
      <c r="G370" s="691">
        <f aca="true" t="shared" si="188" ref="G370:M370">F370-$C379+500</f>
        <v>977137.6179575998</v>
      </c>
      <c r="H370" s="691">
        <f t="shared" si="188"/>
        <v>954275.2359151996</v>
      </c>
      <c r="I370" s="691">
        <f t="shared" si="188"/>
        <v>931412.8538727994</v>
      </c>
      <c r="J370" s="691">
        <f t="shared" si="188"/>
        <v>908550.4718303992</v>
      </c>
      <c r="K370" s="691">
        <f t="shared" si="188"/>
        <v>885688.089787999</v>
      </c>
      <c r="L370" s="691">
        <f t="shared" si="188"/>
        <v>862825.7077455989</v>
      </c>
      <c r="M370" s="699">
        <f t="shared" si="188"/>
        <v>839963.3257031987</v>
      </c>
    </row>
    <row r="371" spans="1:13" s="93" customFormat="1" ht="15">
      <c r="A371" s="125" t="s">
        <v>666</v>
      </c>
      <c r="B371" s="36" t="s">
        <v>508</v>
      </c>
      <c r="C371" s="691">
        <v>1000000</v>
      </c>
      <c r="D371" s="691">
        <f>C371*0.975</f>
        <v>975000</v>
      </c>
      <c r="E371" s="691">
        <f aca="true" t="shared" si="189" ref="E371:M371">D371*0.975</f>
        <v>950625</v>
      </c>
      <c r="F371" s="691">
        <f t="shared" si="189"/>
        <v>926859.375</v>
      </c>
      <c r="G371" s="691">
        <f t="shared" si="189"/>
        <v>903687.890625</v>
      </c>
      <c r="H371" s="691">
        <f t="shared" si="189"/>
        <v>881095.693359375</v>
      </c>
      <c r="I371" s="691">
        <f t="shared" si="189"/>
        <v>859068.3010253906</v>
      </c>
      <c r="J371" s="691">
        <f t="shared" si="189"/>
        <v>837591.5934997558</v>
      </c>
      <c r="K371" s="691">
        <f t="shared" si="189"/>
        <v>816651.8036622619</v>
      </c>
      <c r="L371" s="691">
        <f t="shared" si="189"/>
        <v>796235.5085707053</v>
      </c>
      <c r="M371" s="699">
        <f t="shared" si="189"/>
        <v>776329.6208564376</v>
      </c>
    </row>
    <row r="372" spans="1:13" s="123" customFormat="1" ht="15">
      <c r="A372" s="490" t="s">
        <v>667</v>
      </c>
      <c r="B372" s="875" t="s">
        <v>576</v>
      </c>
      <c r="C372" s="910">
        <v>1</v>
      </c>
      <c r="D372" s="910">
        <v>-102875.60680800024</v>
      </c>
      <c r="E372" s="910">
        <v>-102249.60680800071</v>
      </c>
      <c r="F372" s="910">
        <v>-101640.23180800071</v>
      </c>
      <c r="G372" s="910">
        <v>-123908.47322540032</v>
      </c>
      <c r="H372" s="910">
        <v>-123329.18611602578</v>
      </c>
      <c r="I372" s="910">
        <v>-122764.38118438516</v>
      </c>
      <c r="J372" s="910">
        <v>7422908.551279968</v>
      </c>
      <c r="K372" s="910">
        <v>-43802.17187989503</v>
      </c>
      <c r="L372" s="910">
        <v>-43278.677133956924</v>
      </c>
      <c r="M372" s="911">
        <v>-42768.269756667316</v>
      </c>
    </row>
    <row r="373" spans="1:19" s="169" customFormat="1" ht="15.75">
      <c r="A373" s="615" t="s">
        <v>572</v>
      </c>
      <c r="B373" s="600" t="s">
        <v>501</v>
      </c>
      <c r="C373" s="692">
        <f>SUM(C374:C377)</f>
        <v>12781719.93483919</v>
      </c>
      <c r="D373" s="692">
        <f aca="true" t="shared" si="190" ref="D373:M373">SUM(C374:C377)</f>
        <v>12781719.93483919</v>
      </c>
      <c r="E373" s="692">
        <f t="shared" si="190"/>
        <v>11826008.030203983</v>
      </c>
      <c r="F373" s="692">
        <f t="shared" si="190"/>
        <v>11055974.103711525</v>
      </c>
      <c r="G373" s="692">
        <f t="shared" si="190"/>
        <v>11265704.501854135</v>
      </c>
      <c r="H373" s="692">
        <f t="shared" si="190"/>
        <v>11781965.211327126</v>
      </c>
      <c r="I373" s="692">
        <f t="shared" si="190"/>
        <v>11571898.069216227</v>
      </c>
      <c r="J373" s="692">
        <f t="shared" si="190"/>
        <v>13143768.09974806</v>
      </c>
      <c r="K373" s="692">
        <f t="shared" si="190"/>
        <v>13917705.8815609</v>
      </c>
      <c r="L373" s="692">
        <f t="shared" si="190"/>
        <v>12957562.182036344</v>
      </c>
      <c r="M373" s="693">
        <f t="shared" si="190"/>
        <v>12197376.154187799</v>
      </c>
      <c r="N373" s="665"/>
      <c r="O373" s="665"/>
      <c r="P373" s="665"/>
      <c r="Q373" s="98"/>
      <c r="R373" s="168"/>
      <c r="S373" s="586"/>
    </row>
    <row r="374" spans="1:17" s="42" customFormat="1" ht="15.75">
      <c r="A374" s="55" t="str">
        <f>"h81="&amp;A348</f>
        <v>h81=F9</v>
      </c>
      <c r="B374" s="19" t="str">
        <f>B348&amp;" of t-1"</f>
        <v>Territorial Ecosystem Capital Degradation (TECD), in 10^3 EPUE [F9=F8-F10] of t-1</v>
      </c>
      <c r="C374" s="43">
        <f>0.98*D374</f>
        <v>182007.59134141565</v>
      </c>
      <c r="D374" s="43">
        <f>0.98*E374</f>
        <v>185722.0319810364</v>
      </c>
      <c r="E374" s="43">
        <f>0.98*F374</f>
        <v>189512.2775316698</v>
      </c>
      <c r="F374" s="43">
        <f>0.98*G374</f>
        <v>193379.8750323161</v>
      </c>
      <c r="G374" s="584">
        <f>Q279</f>
        <v>197326.40309420013</v>
      </c>
      <c r="H374" s="43">
        <f aca="true" t="shared" si="191" ref="H374:M374">1.02*G374</f>
        <v>201272.93115608415</v>
      </c>
      <c r="I374" s="43">
        <f t="shared" si="191"/>
        <v>205298.38977920584</v>
      </c>
      <c r="J374" s="43">
        <f t="shared" si="191"/>
        <v>209404.35757478996</v>
      </c>
      <c r="K374" s="43">
        <f t="shared" si="191"/>
        <v>213592.44472628576</v>
      </c>
      <c r="L374" s="43">
        <f t="shared" si="191"/>
        <v>217864.29362081148</v>
      </c>
      <c r="M374" s="906">
        <f t="shared" si="191"/>
        <v>222221.5794932277</v>
      </c>
      <c r="O374" s="12"/>
      <c r="P374" s="12"/>
      <c r="Q374" s="12"/>
    </row>
    <row r="375" spans="1:27" ht="15">
      <c r="A375" s="261" t="str">
        <f aca="true" t="shared" si="192" ref="A375:M375">A428</f>
        <v>K2</v>
      </c>
      <c r="B375" s="36" t="str">
        <f t="shared" si="192"/>
        <v>Ecosystem capital degradation in "consumed imports", agriculture &amp; forest, in EPUE</v>
      </c>
      <c r="C375" s="691">
        <f t="shared" si="192"/>
        <v>4076377.522896339</v>
      </c>
      <c r="D375" s="691">
        <f t="shared" si="192"/>
        <v>3765974.8817780125</v>
      </c>
      <c r="E375" s="691">
        <f t="shared" si="192"/>
        <v>3515620.0025876</v>
      </c>
      <c r="F375" s="691">
        <f t="shared" si="192"/>
        <v>3582222.6733835298</v>
      </c>
      <c r="G375" s="691">
        <f t="shared" si="192"/>
        <v>3747971.379134182</v>
      </c>
      <c r="H375" s="691">
        <f t="shared" si="192"/>
        <v>3678731.662313576</v>
      </c>
      <c r="I375" s="691">
        <f t="shared" si="192"/>
        <v>4185975.4944016887</v>
      </c>
      <c r="J375" s="691">
        <f t="shared" si="192"/>
        <v>4435038.728348447</v>
      </c>
      <c r="K375" s="691">
        <f t="shared" si="192"/>
        <v>4123049.0326591367</v>
      </c>
      <c r="L375" s="691">
        <f t="shared" si="192"/>
        <v>3875724.425477555</v>
      </c>
      <c r="M375" s="699">
        <f t="shared" si="192"/>
        <v>3719639.7084741103</v>
      </c>
      <c r="N375" s="7"/>
      <c r="O375" s="12"/>
      <c r="P375" s="12"/>
      <c r="Q375" s="12"/>
      <c r="R375" s="7"/>
      <c r="S375" s="7"/>
      <c r="T375" s="7"/>
      <c r="U375" s="7"/>
      <c r="X375" s="7"/>
      <c r="Y375" s="7"/>
      <c r="Z375" s="7"/>
      <c r="AA375" s="7"/>
    </row>
    <row r="376" spans="1:27" ht="15">
      <c r="A376" s="261" t="str">
        <f aca="true" t="shared" si="193" ref="A376:M376">A429</f>
        <v>K3</v>
      </c>
      <c r="B376" s="36" t="str">
        <f t="shared" si="193"/>
        <v>Ecosystem capital degradation in "consumed imports", fisheries, in EPUE</v>
      </c>
      <c r="C376" s="691">
        <f t="shared" si="193"/>
        <v>370579.7748087581</v>
      </c>
      <c r="D376" s="691">
        <f t="shared" si="193"/>
        <v>342361.3528889102</v>
      </c>
      <c r="E376" s="691">
        <f t="shared" si="193"/>
        <v>319601.81841705454</v>
      </c>
      <c r="F376" s="691">
        <f t="shared" si="193"/>
        <v>325656.60667123</v>
      </c>
      <c r="G376" s="691">
        <f t="shared" si="193"/>
        <v>340724.6708303802</v>
      </c>
      <c r="H376" s="691">
        <f t="shared" si="193"/>
        <v>334430.151119416</v>
      </c>
      <c r="I376" s="691">
        <f t="shared" si="193"/>
        <v>380543.2267637899</v>
      </c>
      <c r="J376" s="691">
        <f t="shared" si="193"/>
        <v>403185.3389407679</v>
      </c>
      <c r="K376" s="691">
        <f t="shared" si="193"/>
        <v>374822.6393326488</v>
      </c>
      <c r="L376" s="691">
        <f t="shared" si="193"/>
        <v>352338.5841343232</v>
      </c>
      <c r="M376" s="699">
        <f t="shared" si="193"/>
        <v>338149.0644067373</v>
      </c>
      <c r="N376" s="7"/>
      <c r="R376" s="7"/>
      <c r="S376" s="7"/>
      <c r="T376" s="7"/>
      <c r="U376" s="7"/>
      <c r="X376" s="7"/>
      <c r="Y376" s="7"/>
      <c r="Z376" s="7"/>
      <c r="AA376" s="7"/>
    </row>
    <row r="377" spans="1:27" ht="15">
      <c r="A377" s="261" t="str">
        <f aca="true" t="shared" si="194" ref="A377:M377">A430</f>
        <v>K4</v>
      </c>
      <c r="B377" s="36" t="str">
        <f t="shared" si="194"/>
        <v>Ecosystem capital degradation in "consumed imports", atmosphere CO2-e potential, in EPUE</v>
      </c>
      <c r="C377" s="691">
        <f t="shared" si="194"/>
        <v>8152755.045792678</v>
      </c>
      <c r="D377" s="691">
        <f t="shared" si="194"/>
        <v>7531949.763556025</v>
      </c>
      <c r="E377" s="691">
        <f t="shared" si="194"/>
        <v>7031240.0051752</v>
      </c>
      <c r="F377" s="691">
        <f t="shared" si="194"/>
        <v>7164445.3467670595</v>
      </c>
      <c r="G377" s="691">
        <f t="shared" si="194"/>
        <v>7495942.758268364</v>
      </c>
      <c r="H377" s="691">
        <f t="shared" si="194"/>
        <v>7357463.324627152</v>
      </c>
      <c r="I377" s="691">
        <f t="shared" si="194"/>
        <v>8371950.988803377</v>
      </c>
      <c r="J377" s="691">
        <f t="shared" si="194"/>
        <v>8870077.456696894</v>
      </c>
      <c r="K377" s="691">
        <f t="shared" si="194"/>
        <v>8246098.065318273</v>
      </c>
      <c r="L377" s="691">
        <f t="shared" si="194"/>
        <v>7751448.85095511</v>
      </c>
      <c r="M377" s="699">
        <f t="shared" si="194"/>
        <v>7439279.416948221</v>
      </c>
      <c r="N377" s="7"/>
      <c r="R377" s="7"/>
      <c r="S377" s="7"/>
      <c r="T377" s="7"/>
      <c r="U377" s="7"/>
      <c r="X377" s="7"/>
      <c r="Y377" s="7"/>
      <c r="Z377" s="7"/>
      <c r="AA377" s="7"/>
    </row>
    <row r="378" spans="1:19" s="169" customFormat="1" ht="15.75">
      <c r="A378" s="615" t="s">
        <v>573</v>
      </c>
      <c r="B378" s="600" t="s">
        <v>499</v>
      </c>
      <c r="C378" s="692">
        <f aca="true" t="shared" si="195" ref="C378:M378">SUM(C379:C382)</f>
        <v>77874.60680800052</v>
      </c>
      <c r="D378" s="692">
        <f t="shared" si="195"/>
        <v>104463.88449795972</v>
      </c>
      <c r="E378" s="692">
        <f t="shared" si="195"/>
        <v>105460.59642648952</v>
      </c>
      <c r="F378" s="692">
        <f t="shared" si="195"/>
        <v>106506.02951682603</v>
      </c>
      <c r="G378" s="692">
        <f t="shared" si="195"/>
        <v>1607600.468575843</v>
      </c>
      <c r="H378" s="692">
        <f t="shared" si="195"/>
        <v>108709.76115048474</v>
      </c>
      <c r="I378" s="692">
        <f t="shared" si="195"/>
        <v>109867.30749654133</v>
      </c>
      <c r="J378" s="692">
        <f t="shared" si="195"/>
        <v>111073.42099144286</v>
      </c>
      <c r="K378" s="692">
        <f t="shared" si="195"/>
        <v>112328.43757261816</v>
      </c>
      <c r="L378" s="692">
        <f t="shared" si="195"/>
        <v>113632.71578138335</v>
      </c>
      <c r="M378" s="693">
        <f t="shared" si="195"/>
        <v>114986.63681789098</v>
      </c>
      <c r="N378" s="665"/>
      <c r="O378" s="665"/>
      <c r="P378" s="665"/>
      <c r="Q378" s="98"/>
      <c r="R378" s="168"/>
      <c r="S378" s="586"/>
    </row>
    <row r="379" spans="1:27" ht="15">
      <c r="A379" s="142" t="str">
        <f>"h91"&amp;"="&amp;A347</f>
        <v>h91=f71</v>
      </c>
      <c r="B379" s="37" t="s">
        <v>503</v>
      </c>
      <c r="C379" s="38">
        <f>0.98*D379</f>
        <v>23362.382042400157</v>
      </c>
      <c r="D379" s="38">
        <f>0.98*E379</f>
        <v>23839.165349387917</v>
      </c>
      <c r="E379" s="38">
        <f>0.98*F379</f>
        <v>24325.678927946854</v>
      </c>
      <c r="F379" s="38">
        <f>0.98*G379</f>
        <v>24822.12135504781</v>
      </c>
      <c r="G379" s="4">
        <f>Q274</f>
        <v>25328.69526025287</v>
      </c>
      <c r="H379" s="38">
        <f aca="true" t="shared" si="196" ref="H379:M379">1.02*G379</f>
        <v>25835.26916545793</v>
      </c>
      <c r="I379" s="38">
        <f t="shared" si="196"/>
        <v>26351.974548767088</v>
      </c>
      <c r="J379" s="38">
        <f t="shared" si="196"/>
        <v>26879.01403974243</v>
      </c>
      <c r="K379" s="38">
        <f t="shared" si="196"/>
        <v>27416.59432053728</v>
      </c>
      <c r="L379" s="38">
        <f t="shared" si="196"/>
        <v>27964.926206948025</v>
      </c>
      <c r="M379" s="873">
        <f t="shared" si="196"/>
        <v>28524.224731086986</v>
      </c>
      <c r="N379" s="7"/>
      <c r="O379" s="35"/>
      <c r="P379" s="35"/>
      <c r="Q379" s="35"/>
      <c r="R379" s="35"/>
      <c r="S379" s="7"/>
      <c r="T379" s="7"/>
      <c r="U379" s="7"/>
      <c r="X379" s="7"/>
      <c r="Y379" s="7"/>
      <c r="Z379" s="7"/>
      <c r="AA379" s="7"/>
    </row>
    <row r="380" spans="1:21" s="41" customFormat="1" ht="15">
      <c r="A380" s="907" t="str">
        <f>"h92"&amp;"="&amp;A350</f>
        <v>h92=f72</v>
      </c>
      <c r="B380" s="908" t="str">
        <f aca="true" t="shared" si="197" ref="B380:M380">B350</f>
        <v>Ecosystem spontaneous natural improvement, in 10^3 EPUE </v>
      </c>
      <c r="C380" s="909">
        <f t="shared" si="197"/>
        <v>54512.22476560037</v>
      </c>
      <c r="D380" s="909">
        <f t="shared" si="197"/>
        <v>55624.71914857181</v>
      </c>
      <c r="E380" s="909">
        <f t="shared" si="197"/>
        <v>56759.91749854266</v>
      </c>
      <c r="F380" s="909">
        <f t="shared" si="197"/>
        <v>57918.28316177822</v>
      </c>
      <c r="G380" s="909">
        <f t="shared" si="197"/>
        <v>59100.28894059002</v>
      </c>
      <c r="H380" s="909">
        <f t="shared" si="197"/>
        <v>60282.29471940182</v>
      </c>
      <c r="I380" s="909">
        <f t="shared" si="197"/>
        <v>61487.940613789855</v>
      </c>
      <c r="J380" s="909">
        <f t="shared" si="197"/>
        <v>62717.69942606565</v>
      </c>
      <c r="K380" s="909">
        <f t="shared" si="197"/>
        <v>63972.05341458697</v>
      </c>
      <c r="L380" s="909">
        <f t="shared" si="197"/>
        <v>65251.494482878705</v>
      </c>
      <c r="M380" s="912">
        <f t="shared" si="197"/>
        <v>66556.52437253628</v>
      </c>
      <c r="R380" s="66"/>
      <c r="S380" s="66"/>
      <c r="T380" s="66"/>
      <c r="U380" s="66"/>
    </row>
    <row r="381" spans="1:18" s="93" customFormat="1" ht="15">
      <c r="A381" s="125" t="s">
        <v>668</v>
      </c>
      <c r="B381" s="34" t="s">
        <v>859</v>
      </c>
      <c r="C381" s="92">
        <v>0</v>
      </c>
      <c r="D381" s="4">
        <f>C371-D371</f>
        <v>25000</v>
      </c>
      <c r="E381" s="4">
        <f aca="true" t="shared" si="198" ref="E381:M381">D371-E371</f>
        <v>24375</v>
      </c>
      <c r="F381" s="4">
        <f t="shared" si="198"/>
        <v>23765.625</v>
      </c>
      <c r="G381" s="4">
        <f t="shared" si="198"/>
        <v>23171.484375</v>
      </c>
      <c r="H381" s="4">
        <f t="shared" si="198"/>
        <v>22592.197265625</v>
      </c>
      <c r="I381" s="4">
        <f t="shared" si="198"/>
        <v>22027.392333984375</v>
      </c>
      <c r="J381" s="4">
        <f t="shared" si="198"/>
        <v>21476.70752563479</v>
      </c>
      <c r="K381" s="4">
        <f t="shared" si="198"/>
        <v>20939.78983749391</v>
      </c>
      <c r="L381" s="4">
        <f t="shared" si="198"/>
        <v>20416.295091556618</v>
      </c>
      <c r="M381" s="497">
        <f t="shared" si="198"/>
        <v>19905.88771426771</v>
      </c>
      <c r="O381" s="35"/>
      <c r="P381" s="35"/>
      <c r="Q381" s="35"/>
      <c r="R381" s="35"/>
    </row>
    <row r="382" spans="1:13" ht="15">
      <c r="A382" s="125" t="s">
        <v>669</v>
      </c>
      <c r="B382" s="34" t="s">
        <v>500</v>
      </c>
      <c r="C382" s="92">
        <v>0</v>
      </c>
      <c r="D382" s="92">
        <v>0</v>
      </c>
      <c r="E382" s="92">
        <v>0</v>
      </c>
      <c r="F382" s="92">
        <v>0</v>
      </c>
      <c r="G382" s="92">
        <v>1500000</v>
      </c>
      <c r="H382" s="92">
        <v>0</v>
      </c>
      <c r="I382" s="31">
        <v>0</v>
      </c>
      <c r="J382" s="92">
        <v>0</v>
      </c>
      <c r="K382" s="31">
        <v>0</v>
      </c>
      <c r="L382" s="92">
        <v>0</v>
      </c>
      <c r="M382" s="667">
        <v>0</v>
      </c>
    </row>
    <row r="383" spans="1:19" s="169" customFormat="1" ht="15.75">
      <c r="A383" s="849" t="s">
        <v>670</v>
      </c>
      <c r="B383" s="947" t="s">
        <v>672</v>
      </c>
      <c r="C383" s="948">
        <f>C372+C373-C378</f>
        <v>12703846.32803119</v>
      </c>
      <c r="D383" s="948">
        <f aca="true" t="shared" si="199" ref="D383:M383">D372+D373-D378</f>
        <v>12574380.44353323</v>
      </c>
      <c r="E383" s="948">
        <f t="shared" si="199"/>
        <v>11618297.826969493</v>
      </c>
      <c r="F383" s="948">
        <f t="shared" si="199"/>
        <v>10847827.842386698</v>
      </c>
      <c r="G383" s="948">
        <f t="shared" si="199"/>
        <v>9534195.560052892</v>
      </c>
      <c r="H383" s="948">
        <f t="shared" si="199"/>
        <v>11549926.264060615</v>
      </c>
      <c r="I383" s="948">
        <f t="shared" si="199"/>
        <v>11339266.380535299</v>
      </c>
      <c r="J383" s="948">
        <f t="shared" si="199"/>
        <v>20455603.230036587</v>
      </c>
      <c r="K383" s="948">
        <f t="shared" si="199"/>
        <v>13761575.272108385</v>
      </c>
      <c r="L383" s="948">
        <f t="shared" si="199"/>
        <v>12800650.789121004</v>
      </c>
      <c r="M383" s="949">
        <f t="shared" si="199"/>
        <v>12039621.24761324</v>
      </c>
      <c r="N383" s="665"/>
      <c r="O383" s="665"/>
      <c r="P383" s="665"/>
      <c r="Q383" s="98"/>
      <c r="R383" s="168"/>
      <c r="S383" s="586"/>
    </row>
    <row r="384" spans="1:19" s="169" customFormat="1" ht="16.5" thickBot="1">
      <c r="A384" s="700" t="s">
        <v>671</v>
      </c>
      <c r="B384" s="701" t="s">
        <v>860</v>
      </c>
      <c r="C384" s="702">
        <f>C367+C383</f>
        <v>28407692.65606238</v>
      </c>
      <c r="D384" s="702">
        <f aca="true" t="shared" si="200" ref="D384:M384">D367+D383</f>
        <v>28045886.28025846</v>
      </c>
      <c r="E384" s="702">
        <f t="shared" si="200"/>
        <v>26031471.440322988</v>
      </c>
      <c r="F384" s="702">
        <f t="shared" si="200"/>
        <v>24388891.239349395</v>
      </c>
      <c r="G384" s="702">
        <f t="shared" si="200"/>
        <v>21637718.201456383</v>
      </c>
      <c r="H384" s="702">
        <f t="shared" si="200"/>
        <v>25545850.423355803</v>
      </c>
      <c r="I384" s="702">
        <f t="shared" si="200"/>
        <v>25001766.275120787</v>
      </c>
      <c r="J384" s="702">
        <f t="shared" si="200"/>
        <v>50657348.52540333</v>
      </c>
      <c r="K384" s="702">
        <f t="shared" si="200"/>
        <v>37225490.437667035</v>
      </c>
      <c r="L384" s="702">
        <f t="shared" si="200"/>
        <v>35260362.79455831</v>
      </c>
      <c r="M384" s="703">
        <f t="shared" si="200"/>
        <v>33695535.44178612</v>
      </c>
      <c r="N384" s="665"/>
      <c r="O384" s="665"/>
      <c r="P384" s="665"/>
      <c r="Q384" s="98"/>
      <c r="R384" s="168"/>
      <c r="S384" s="586"/>
    </row>
    <row r="385" spans="1:19" s="168" customFormat="1" ht="16.5" thickBot="1">
      <c r="A385" s="832"/>
      <c r="B385" s="685"/>
      <c r="C385" s="833"/>
      <c r="D385" s="834"/>
      <c r="E385" s="834"/>
      <c r="F385" s="834"/>
      <c r="G385" s="835"/>
      <c r="H385" s="836"/>
      <c r="I385" s="836"/>
      <c r="J385" s="836"/>
      <c r="K385" s="836"/>
      <c r="L385" s="836"/>
      <c r="M385" s="836"/>
      <c r="N385" s="665"/>
      <c r="O385" s="665"/>
      <c r="P385" s="665"/>
      <c r="Q385" s="98"/>
      <c r="S385" s="586"/>
    </row>
    <row r="386" spans="1:27" s="93" customFormat="1" ht="60.75" thickBot="1">
      <c r="A386" s="1036" t="s">
        <v>578</v>
      </c>
      <c r="B386" s="1037"/>
      <c r="C386" s="956" t="s">
        <v>227</v>
      </c>
      <c r="D386" s="104" t="s">
        <v>532</v>
      </c>
      <c r="E386" s="104" t="s">
        <v>119</v>
      </c>
      <c r="F386" s="104" t="s">
        <v>327</v>
      </c>
      <c r="G386" s="362" t="s">
        <v>533</v>
      </c>
      <c r="I386" s="1077" t="s">
        <v>115</v>
      </c>
      <c r="J386" s="1078"/>
      <c r="K386" s="1078"/>
      <c r="L386" s="1078"/>
      <c r="M386" s="1078"/>
      <c r="N386" s="1078"/>
      <c r="O386" s="1078"/>
      <c r="P386" s="1079"/>
      <c r="R386" s="95"/>
      <c r="X386" s="35"/>
      <c r="Y386" s="35"/>
      <c r="Z386" s="35"/>
      <c r="AA386" s="35"/>
    </row>
    <row r="387" spans="1:27" s="32" customFormat="1" ht="15" customHeight="1">
      <c r="A387" s="985" t="str">
        <f aca="true" t="shared" si="201" ref="A387:A393">A285&amp;" &amp; "&amp;A408</f>
        <v>f91 &amp; j11</v>
      </c>
      <c r="B387" s="287" t="s">
        <v>707</v>
      </c>
      <c r="C387" s="489"/>
      <c r="D387" s="489"/>
      <c r="E387" s="489"/>
      <c r="F387" s="489"/>
      <c r="G387" s="188"/>
      <c r="H387" s="98"/>
      <c r="I387" s="983"/>
      <c r="J387" s="98"/>
      <c r="K387" s="98"/>
      <c r="L387" s="98"/>
      <c r="M387" s="98"/>
      <c r="N387" s="98"/>
      <c r="O387" s="98"/>
      <c r="P387" s="984"/>
      <c r="Q387" s="98"/>
      <c r="R387" s="82"/>
      <c r="S387" s="5"/>
      <c r="T387" s="571"/>
      <c r="U387" s="6"/>
      <c r="V387" s="5"/>
      <c r="W387" s="572"/>
      <c r="X387" s="448"/>
      <c r="Y387" s="448"/>
      <c r="Z387" s="448"/>
      <c r="AA387" s="134"/>
    </row>
    <row r="388" spans="1:21" ht="15">
      <c r="A388" s="428" t="str">
        <f t="shared" si="201"/>
        <v>f911 &amp; j111</v>
      </c>
      <c r="B388" s="961" t="str">
        <f>B286</f>
        <v>Urban and infrastructures development over agriculture</v>
      </c>
      <c r="C388" s="957"/>
      <c r="D388" s="103">
        <f>700*160</f>
        <v>112000</v>
      </c>
      <c r="E388" s="27"/>
      <c r="F388" s="757">
        <v>10</v>
      </c>
      <c r="G388" s="363">
        <f>D388/F388</f>
        <v>11200</v>
      </c>
      <c r="I388" s="1033" t="s">
        <v>264</v>
      </c>
      <c r="J388" s="1034"/>
      <c r="K388" s="1034"/>
      <c r="L388" s="1034"/>
      <c r="M388" s="1034"/>
      <c r="N388" s="1034"/>
      <c r="O388" s="1034"/>
      <c r="P388" s="1035"/>
      <c r="R388" s="7"/>
      <c r="S388" s="7"/>
      <c r="T388" s="7"/>
      <c r="U388" s="7"/>
    </row>
    <row r="389" spans="1:21" ht="15">
      <c r="A389" s="428" t="str">
        <f t="shared" si="201"/>
        <v>f912 &amp; j112</v>
      </c>
      <c r="B389" s="961" t="str">
        <f>B287&amp;" ==&gt; set aside, loss of crop revenue"</f>
        <v>Conversion of pasture/grassland to cropland ==&gt; set aside, loss of crop revenue</v>
      </c>
      <c r="C389" s="957"/>
      <c r="D389" s="103">
        <f>700*160</f>
        <v>112000</v>
      </c>
      <c r="E389" s="27"/>
      <c r="F389" s="757">
        <v>15</v>
      </c>
      <c r="G389" s="172">
        <f>D389/F389</f>
        <v>7466.666666666667</v>
      </c>
      <c r="I389" s="1033" t="s">
        <v>264</v>
      </c>
      <c r="J389" s="1034"/>
      <c r="K389" s="1034"/>
      <c r="L389" s="1034"/>
      <c r="M389" s="1034"/>
      <c r="N389" s="1034"/>
      <c r="O389" s="1034"/>
      <c r="P389" s="1035"/>
      <c r="R389" s="7"/>
      <c r="S389" s="7"/>
      <c r="T389" s="7"/>
      <c r="U389" s="7"/>
    </row>
    <row r="390" spans="1:21" ht="15">
      <c r="A390" s="428" t="str">
        <f t="shared" si="201"/>
        <v>f913 &amp; j113</v>
      </c>
      <c r="B390" s="961" t="str">
        <f>B288&amp;" ==&gt; reforestation"</f>
        <v>Deforestation (forest land uptake by agriculture or urban sprawl) ==&gt; reforestation</v>
      </c>
      <c r="C390" s="957">
        <v>1200</v>
      </c>
      <c r="D390" s="103">
        <f>C390*100</f>
        <v>120000</v>
      </c>
      <c r="E390" s="27"/>
      <c r="F390" s="757">
        <v>5</v>
      </c>
      <c r="G390" s="363">
        <f>D390/F390</f>
        <v>24000</v>
      </c>
      <c r="I390" s="1033" t="s">
        <v>335</v>
      </c>
      <c r="J390" s="1034"/>
      <c r="K390" s="1034"/>
      <c r="L390" s="1034"/>
      <c r="M390" s="1034"/>
      <c r="N390" s="1034"/>
      <c r="O390" s="1034"/>
      <c r="P390" s="1035"/>
      <c r="R390" s="7"/>
      <c r="S390" s="7"/>
      <c r="T390" s="7"/>
      <c r="U390" s="7"/>
    </row>
    <row r="391" spans="1:27" s="93" customFormat="1" ht="15">
      <c r="A391" s="428" t="str">
        <f t="shared" si="201"/>
        <v>f914 &amp; j114</v>
      </c>
      <c r="B391" s="961" t="str">
        <f>B289&amp;" ==&gt; compensation"</f>
        <v>Other shift to more artificial or intensive land cover type ==&gt; compensation</v>
      </c>
      <c r="C391" s="957"/>
      <c r="D391" s="957"/>
      <c r="E391" s="958"/>
      <c r="F391" s="43"/>
      <c r="G391" s="986"/>
      <c r="I391" s="951"/>
      <c r="J391" s="950"/>
      <c r="K391" s="950"/>
      <c r="L391" s="950"/>
      <c r="M391" s="950"/>
      <c r="N391" s="950"/>
      <c r="O391" s="950"/>
      <c r="P391" s="952"/>
      <c r="X391" s="35"/>
      <c r="Y391" s="35"/>
      <c r="Z391" s="35"/>
      <c r="AA391" s="35"/>
    </row>
    <row r="392" spans="1:27" s="32" customFormat="1" ht="15" customHeight="1">
      <c r="A392" s="985" t="str">
        <f t="shared" si="201"/>
        <v>f92 &amp; j12</v>
      </c>
      <c r="B392" s="287" t="str">
        <f>B290&amp;" ==&gt; plantation of hedgerows"</f>
        <v>Restructuring/destructuring of landscapes and rivers ==&gt; plantation of hedgerows</v>
      </c>
      <c r="C392" s="489">
        <v>3000</v>
      </c>
      <c r="D392" s="489">
        <f>C392*100</f>
        <v>300000</v>
      </c>
      <c r="E392" s="489"/>
      <c r="F392" s="489">
        <v>10</v>
      </c>
      <c r="G392" s="188">
        <f>D392/F392</f>
        <v>30000</v>
      </c>
      <c r="H392" s="98"/>
      <c r="I392" s="983" t="s">
        <v>336</v>
      </c>
      <c r="J392" s="98"/>
      <c r="K392" s="98"/>
      <c r="L392" s="98"/>
      <c r="M392" s="98"/>
      <c r="N392" s="98"/>
      <c r="O392" s="98"/>
      <c r="P392" s="984"/>
      <c r="Q392" s="98"/>
      <c r="R392" s="82"/>
      <c r="S392" s="5"/>
      <c r="T392" s="571"/>
      <c r="U392" s="6"/>
      <c r="V392" s="5"/>
      <c r="W392" s="572"/>
      <c r="X392" s="448"/>
      <c r="Y392" s="448"/>
      <c r="Z392" s="448"/>
      <c r="AA392" s="134"/>
    </row>
    <row r="393" spans="1:27" s="32" customFormat="1" ht="15" customHeight="1">
      <c r="A393" s="985" t="str">
        <f t="shared" si="201"/>
        <v>f93 &amp; j13</v>
      </c>
      <c r="B393" s="994" t="str">
        <f>B291</f>
        <v>Overexploitation of biological resources</v>
      </c>
      <c r="C393" s="489"/>
      <c r="D393" s="489"/>
      <c r="E393" s="489"/>
      <c r="F393" s="132"/>
      <c r="G393" s="188"/>
      <c r="H393" s="98"/>
      <c r="I393" s="1033"/>
      <c r="J393" s="1034"/>
      <c r="K393" s="1034"/>
      <c r="L393" s="1034"/>
      <c r="M393" s="1034"/>
      <c r="N393" s="1034"/>
      <c r="O393" s="1034"/>
      <c r="P393" s="1035"/>
      <c r="Q393" s="98"/>
      <c r="R393" s="82"/>
      <c r="S393" s="5"/>
      <c r="T393" s="571"/>
      <c r="U393" s="6"/>
      <c r="V393" s="5"/>
      <c r="W393" s="572"/>
      <c r="X393" s="448"/>
      <c r="Y393" s="448"/>
      <c r="Z393" s="448"/>
      <c r="AA393" s="134"/>
    </row>
    <row r="394" spans="1:21" ht="15">
      <c r="A394" s="428" t="str">
        <f>A292&amp;" &amp; "&amp;A415</f>
        <v>f931 &amp; j131</v>
      </c>
      <c r="B394" s="961" t="str">
        <f>B292&amp;" ==&gt; yield abatement, organic fertilisation, change of crop"</f>
        <v>Agriculture overharvesting and over grazing ==&gt; yield abatement, organic fertilisation, change of crop</v>
      </c>
      <c r="C394" s="957"/>
      <c r="D394" s="103">
        <f>0.1*700*160</f>
        <v>11200</v>
      </c>
      <c r="E394" s="27"/>
      <c r="F394" s="757">
        <v>5</v>
      </c>
      <c r="G394" s="363">
        <f>D394/F394</f>
        <v>2240</v>
      </c>
      <c r="I394" s="1033" t="s">
        <v>263</v>
      </c>
      <c r="J394" s="1034"/>
      <c r="K394" s="1034"/>
      <c r="L394" s="1034"/>
      <c r="M394" s="1034"/>
      <c r="N394" s="1034"/>
      <c r="O394" s="1034"/>
      <c r="P394" s="1035"/>
      <c r="R394" s="7"/>
      <c r="S394" s="7"/>
      <c r="T394" s="7"/>
      <c r="U394" s="7"/>
    </row>
    <row r="395" spans="1:21" ht="15">
      <c r="A395" s="428" t="str">
        <f>A293&amp;" &amp; "&amp;A416</f>
        <v>f932 &amp; j132</v>
      </c>
      <c r="B395" s="961" t="str">
        <f>B293&amp;" ==&gt; yield abatement"</f>
        <v>Clearing of forest beyond mean NEP ==&gt; yield abatement</v>
      </c>
      <c r="C395" s="957">
        <f>5*150</f>
        <v>750</v>
      </c>
      <c r="D395" s="103">
        <f>C395*100</f>
        <v>75000</v>
      </c>
      <c r="E395" s="27"/>
      <c r="F395" s="757">
        <v>5</v>
      </c>
      <c r="G395" s="363">
        <f>D395/F395</f>
        <v>15000</v>
      </c>
      <c r="I395" s="1033" t="s">
        <v>116</v>
      </c>
      <c r="J395" s="1034"/>
      <c r="K395" s="1034"/>
      <c r="L395" s="1034"/>
      <c r="M395" s="1034"/>
      <c r="N395" s="1034"/>
      <c r="O395" s="1034"/>
      <c r="P395" s="1035"/>
      <c r="R395" s="7"/>
      <c r="S395" s="7"/>
      <c r="T395" s="7"/>
      <c r="U395" s="7"/>
    </row>
    <row r="396" spans="1:21" ht="15">
      <c r="A396" s="428" t="str">
        <f>A294&amp;" &amp; "&amp;A417</f>
        <v>f933 &amp; j133</v>
      </c>
      <c r="B396" s="961" t="str">
        <f>B294&amp;" ==&gt; yield abatement"</f>
        <v>Overfishing ==&gt; yield abatement</v>
      </c>
      <c r="C396" s="309"/>
      <c r="D396" s="27"/>
      <c r="E396" s="129">
        <f>0.2*5000000*1400</f>
        <v>1400000000</v>
      </c>
      <c r="F396" s="23">
        <v>1</v>
      </c>
      <c r="G396" s="172">
        <f>E396/L294</f>
        <v>796.2693079423093</v>
      </c>
      <c r="I396" s="1033" t="s">
        <v>118</v>
      </c>
      <c r="J396" s="1034"/>
      <c r="K396" s="1034"/>
      <c r="L396" s="1034"/>
      <c r="M396" s="1034"/>
      <c r="N396" s="1034"/>
      <c r="O396" s="1034"/>
      <c r="P396" s="1035"/>
      <c r="Q396" s="3"/>
      <c r="R396" s="3"/>
      <c r="S396" s="86"/>
      <c r="T396" s="86"/>
      <c r="U396" s="86"/>
    </row>
    <row r="397" spans="1:27" s="93" customFormat="1" ht="15">
      <c r="A397" s="428" t="str">
        <f>A295&amp;" &amp; "&amp;A418</f>
        <v>f934 &amp; j134</v>
      </c>
      <c r="B397" s="961" t="str">
        <f>B295</f>
        <v>Overhunting</v>
      </c>
      <c r="C397" s="309"/>
      <c r="D397" s="27"/>
      <c r="E397" s="129"/>
      <c r="F397" s="23"/>
      <c r="G397" s="172"/>
      <c r="I397" s="1033"/>
      <c r="J397" s="1034"/>
      <c r="K397" s="1034"/>
      <c r="L397" s="1034"/>
      <c r="M397" s="1034"/>
      <c r="N397" s="1034"/>
      <c r="O397" s="1034"/>
      <c r="P397" s="1035"/>
      <c r="Q397" s="3"/>
      <c r="R397" s="3"/>
      <c r="S397" s="86"/>
      <c r="T397" s="86"/>
      <c r="U397" s="86"/>
      <c r="X397" s="35"/>
      <c r="Y397" s="35"/>
      <c r="Z397" s="35"/>
      <c r="AA397" s="35"/>
    </row>
    <row r="398" spans="1:27" s="32" customFormat="1" ht="15" customHeight="1">
      <c r="A398" s="985" t="str">
        <f>A296&amp;" &amp; "&amp;A419</f>
        <v>f94 &amp; f14</v>
      </c>
      <c r="B398" s="994" t="str">
        <f>B296&amp;" ==&gt; yield abatement"</f>
        <v>Waste disposal, pollution ==&gt; yield abatement</v>
      </c>
      <c r="C398" s="489"/>
      <c r="D398" s="489"/>
      <c r="E398" s="489"/>
      <c r="F398" s="132"/>
      <c r="G398" s="188"/>
      <c r="H398" s="98"/>
      <c r="I398" s="1033"/>
      <c r="J398" s="1034"/>
      <c r="K398" s="1034"/>
      <c r="L398" s="1034"/>
      <c r="M398" s="1034"/>
      <c r="N398" s="1034"/>
      <c r="O398" s="1034"/>
      <c r="P398" s="1035"/>
      <c r="Q398" s="98"/>
      <c r="R398" s="82"/>
      <c r="S398" s="5"/>
      <c r="T398" s="571"/>
      <c r="U398" s="6"/>
      <c r="V398" s="5"/>
      <c r="W398" s="572"/>
      <c r="X398" s="448"/>
      <c r="Y398" s="448"/>
      <c r="Z398" s="448"/>
      <c r="AA398" s="134"/>
    </row>
    <row r="399" spans="1:21" ht="15">
      <c r="A399" s="428" t="str">
        <f>A297&amp;" &amp; "&amp;A420</f>
        <v>f941 &amp; j141</v>
      </c>
      <c r="B399" s="961" t="str">
        <f>B297&amp;" ==&gt; yield abatement less cost of chemicals"</f>
        <v>Pollution/ Use of chemicals in agriculture, forestry ==&gt; yield abatement less cost of chemicals</v>
      </c>
      <c r="C399" s="957">
        <v>100</v>
      </c>
      <c r="D399" s="103">
        <f>C399*100</f>
        <v>10000</v>
      </c>
      <c r="E399" s="27"/>
      <c r="F399" s="757">
        <v>5</v>
      </c>
      <c r="G399" s="363">
        <f>D399/F399</f>
        <v>2000</v>
      </c>
      <c r="I399" s="1033" t="s">
        <v>328</v>
      </c>
      <c r="J399" s="1034"/>
      <c r="K399" s="1034"/>
      <c r="L399" s="1034"/>
      <c r="M399" s="1034"/>
      <c r="N399" s="1034"/>
      <c r="O399" s="1034"/>
      <c r="P399" s="1035"/>
      <c r="R399" s="7"/>
      <c r="S399" s="7"/>
      <c r="T399" s="7"/>
      <c r="U399" s="7"/>
    </row>
    <row r="400" spans="1:21" ht="15">
      <c r="A400" s="428" t="str">
        <f>A299&amp;" &amp; "&amp;A421</f>
        <v>f943 &amp; j142</v>
      </c>
      <c r="B400" s="961" t="str">
        <f>B299&amp;" ==&gt; cost of abatement programmes"</f>
        <v>Water pollution ==&gt; cost of abatement programmes</v>
      </c>
      <c r="C400" s="958"/>
      <c r="D400" s="14"/>
      <c r="E400" s="103">
        <f>0.2*0.28*0.0176*M453*1000000</f>
        <v>10904192499.2</v>
      </c>
      <c r="F400" s="757">
        <v>1</v>
      </c>
      <c r="G400" s="172">
        <f>E400/I299</f>
        <v>3791.203437909781</v>
      </c>
      <c r="I400" s="1033" t="s">
        <v>280</v>
      </c>
      <c r="J400" s="1034"/>
      <c r="K400" s="1034"/>
      <c r="L400" s="1034"/>
      <c r="M400" s="1034"/>
      <c r="N400" s="1034"/>
      <c r="O400" s="1034"/>
      <c r="P400" s="1035"/>
      <c r="R400" s="7"/>
      <c r="S400" s="7"/>
      <c r="T400" s="7"/>
      <c r="U400" s="7"/>
    </row>
    <row r="401" spans="1:21" ht="15">
      <c r="A401" s="428" t="str">
        <f>A298&amp;" &amp; "&amp;A422</f>
        <v>f942 &amp; j143</v>
      </c>
      <c r="B401" s="961" t="str">
        <f>B298&amp;" ==&gt; cost of restoration programmes"</f>
        <v>Pollution/ Waste dumping ==&gt; cost of restoration programmes</v>
      </c>
      <c r="C401" s="959"/>
      <c r="D401" s="14"/>
      <c r="E401" s="103">
        <f>0.2*0.4*0.0176*M453*1000000</f>
        <v>15577417856.000004</v>
      </c>
      <c r="F401" s="23">
        <v>1</v>
      </c>
      <c r="G401" s="172">
        <f>E401/I298</f>
        <v>6986.327004698975</v>
      </c>
      <c r="I401" s="1033" t="s">
        <v>281</v>
      </c>
      <c r="J401" s="1034"/>
      <c r="K401" s="1034"/>
      <c r="L401" s="1034"/>
      <c r="M401" s="1034"/>
      <c r="N401" s="1034"/>
      <c r="O401" s="1034"/>
      <c r="P401" s="1035"/>
      <c r="Q401" s="3"/>
      <c r="R401" s="3"/>
      <c r="S401" s="86"/>
      <c r="T401" s="86"/>
      <c r="U401" s="86"/>
    </row>
    <row r="402" spans="1:21" ht="15">
      <c r="A402" s="428" t="str">
        <f>A300&amp;" &amp; "&amp;A423</f>
        <v>f944 &amp; j144</v>
      </c>
      <c r="B402" s="961" t="str">
        <f>B300&amp;" ==&gt; cost of abatement programmes"</f>
        <v>Air pollution ==&gt; cost of abatement programmes</v>
      </c>
      <c r="C402" s="959"/>
      <c r="D402" s="14"/>
      <c r="E402" s="103">
        <f>0.2*0.1*0.0176*M453*1000000</f>
        <v>3894354464.000001</v>
      </c>
      <c r="F402" s="23">
        <v>1</v>
      </c>
      <c r="G402" s="172">
        <f>E402/I300</f>
        <v>29007.84418335309</v>
      </c>
      <c r="I402" s="1033" t="s">
        <v>282</v>
      </c>
      <c r="J402" s="1034"/>
      <c r="K402" s="1034"/>
      <c r="L402" s="1034"/>
      <c r="M402" s="1034"/>
      <c r="N402" s="1034"/>
      <c r="O402" s="1034"/>
      <c r="P402" s="1035"/>
      <c r="Q402" s="3"/>
      <c r="R402" s="3"/>
      <c r="S402" s="86"/>
      <c r="T402" s="86"/>
      <c r="U402" s="86"/>
    </row>
    <row r="403" spans="1:21" ht="15.75" thickBot="1">
      <c r="A403" s="429" t="str">
        <f>A301&amp;" &amp; "&amp;A424</f>
        <v>f945 &amp; j145</v>
      </c>
      <c r="B403" s="962" t="str">
        <f>B301&amp;" ==&gt; investments in clean technologies"</f>
        <v>Emission of GHGs ==&gt; investments in clean technologies</v>
      </c>
      <c r="C403" s="960"/>
      <c r="D403" s="430"/>
      <c r="E403" s="46">
        <f>M453*1000000*0.01</f>
        <v>110635070000</v>
      </c>
      <c r="F403" s="360">
        <v>1</v>
      </c>
      <c r="G403" s="364">
        <f>E403/P301</f>
        <v>678.9143045875801</v>
      </c>
      <c r="I403" s="1083" t="s">
        <v>337</v>
      </c>
      <c r="J403" s="1084"/>
      <c r="K403" s="1084"/>
      <c r="L403" s="1084"/>
      <c r="M403" s="1084"/>
      <c r="N403" s="1084"/>
      <c r="O403" s="1084"/>
      <c r="P403" s="1085"/>
      <c r="Q403" s="3"/>
      <c r="R403" s="3"/>
      <c r="S403" s="86"/>
      <c r="T403" s="86"/>
      <c r="U403" s="86"/>
    </row>
    <row r="404" spans="1:21" ht="15.75" thickBot="1">
      <c r="A404" s="22"/>
      <c r="B404" s="5"/>
      <c r="C404" s="6"/>
      <c r="D404" s="6"/>
      <c r="E404" s="6"/>
      <c r="F404" s="6"/>
      <c r="G404" s="6"/>
      <c r="H404" s="6"/>
      <c r="I404" s="136"/>
      <c r="J404" s="6"/>
      <c r="K404" s="135"/>
      <c r="L404" s="6"/>
      <c r="M404" s="6"/>
      <c r="N404" s="6"/>
      <c r="O404" s="3"/>
      <c r="P404" s="3"/>
      <c r="Q404" s="8"/>
      <c r="R404" s="86"/>
      <c r="S404" s="86"/>
      <c r="T404" s="86"/>
      <c r="U404" s="12"/>
    </row>
    <row r="405" spans="1:27" s="93" customFormat="1" ht="15" customHeight="1">
      <c r="A405" s="1036" t="s">
        <v>742</v>
      </c>
      <c r="B405" s="1072"/>
      <c r="C405" s="1074" t="s">
        <v>35</v>
      </c>
      <c r="D405" s="1075"/>
      <c r="E405" s="1075"/>
      <c r="F405" s="1075"/>
      <c r="G405" s="1075"/>
      <c r="H405" s="1075"/>
      <c r="I405" s="1075"/>
      <c r="J405" s="1075"/>
      <c r="K405" s="1076"/>
      <c r="L405" s="1055" t="s">
        <v>0</v>
      </c>
      <c r="M405" s="1046"/>
      <c r="N405" s="1046"/>
      <c r="O405" s="1046"/>
      <c r="P405" s="405" t="s">
        <v>2</v>
      </c>
      <c r="Q405" s="1070" t="s">
        <v>329</v>
      </c>
      <c r="X405" s="35"/>
      <c r="Y405" s="35"/>
      <c r="Z405" s="35"/>
      <c r="AA405" s="35"/>
    </row>
    <row r="406" spans="1:27" s="93" customFormat="1" ht="60">
      <c r="A406" s="1038"/>
      <c r="B406" s="1073"/>
      <c r="C406" s="1006" t="s">
        <v>149</v>
      </c>
      <c r="D406" s="1006" t="s">
        <v>150</v>
      </c>
      <c r="E406" s="1006" t="s">
        <v>153</v>
      </c>
      <c r="F406" s="1006" t="s">
        <v>151</v>
      </c>
      <c r="G406" s="1006" t="s">
        <v>152</v>
      </c>
      <c r="H406" s="1006" t="s">
        <v>32</v>
      </c>
      <c r="I406" s="322" t="s">
        <v>330</v>
      </c>
      <c r="J406" s="1006" t="s">
        <v>60</v>
      </c>
      <c r="K406" s="407" t="s">
        <v>295</v>
      </c>
      <c r="L406" s="673" t="s">
        <v>293</v>
      </c>
      <c r="M406" s="674" t="s">
        <v>291</v>
      </c>
      <c r="N406" s="675" t="s">
        <v>297</v>
      </c>
      <c r="O406" s="398" t="s">
        <v>495</v>
      </c>
      <c r="P406" s="400" t="s">
        <v>495</v>
      </c>
      <c r="Q406" s="1071"/>
      <c r="S406" s="42"/>
      <c r="X406" s="35"/>
      <c r="Y406" s="35"/>
      <c r="Z406" s="35"/>
      <c r="AA406" s="35"/>
    </row>
    <row r="407" spans="1:27" s="169" customFormat="1" ht="15.75">
      <c r="A407" s="413" t="s">
        <v>347</v>
      </c>
      <c r="B407" s="1019" t="s">
        <v>874</v>
      </c>
      <c r="C407" s="410">
        <f aca="true" t="shared" si="202" ref="C407:H407">SUM(C415:C424)</f>
        <v>7045.451040473066</v>
      </c>
      <c r="D407" s="410">
        <f t="shared" si="202"/>
        <v>11171.766380458323</v>
      </c>
      <c r="E407" s="410">
        <f t="shared" si="202"/>
        <v>12284.57108599563</v>
      </c>
      <c r="F407" s="410">
        <f t="shared" si="202"/>
        <v>14689.039357273128</v>
      </c>
      <c r="G407" s="410">
        <f t="shared" si="202"/>
        <v>3388.7418596634643</v>
      </c>
      <c r="H407" s="410">
        <f t="shared" si="202"/>
        <v>9856.104107834079</v>
      </c>
      <c r="I407" s="410">
        <f>SUM(C407:H407)</f>
        <v>58435.67383169769</v>
      </c>
      <c r="J407" s="410">
        <f>SUM(J415:J424)</f>
        <v>988.8219564807697</v>
      </c>
      <c r="K407" s="411">
        <f>J407+I407</f>
        <v>59424.495788178465</v>
      </c>
      <c r="L407" s="414">
        <f>SUM(L415:L424)</f>
        <v>1400</v>
      </c>
      <c r="M407" s="415">
        <f>SUM(M415:M424)</f>
        <v>280</v>
      </c>
      <c r="N407" s="412">
        <f>M407+L407</f>
        <v>1680</v>
      </c>
      <c r="O407" s="676">
        <f>SUM(O415:O424)</f>
        <v>0</v>
      </c>
      <c r="P407" s="672">
        <f>SUM(P415:P424)</f>
        <v>110635.07</v>
      </c>
      <c r="Q407" s="416">
        <f>K407+N407+O407+P407</f>
        <v>171739.56578817847</v>
      </c>
      <c r="S407" s="432"/>
      <c r="X407" s="357"/>
      <c r="Y407" s="357"/>
      <c r="Z407" s="357"/>
      <c r="AA407" s="357"/>
    </row>
    <row r="408" spans="1:27" s="32" customFormat="1" ht="15" customHeight="1">
      <c r="A408" s="295" t="s">
        <v>579</v>
      </c>
      <c r="B408" s="1020" t="s">
        <v>707</v>
      </c>
      <c r="C408" s="132"/>
      <c r="D408" s="489"/>
      <c r="E408" s="489"/>
      <c r="F408" s="489"/>
      <c r="G408" s="489"/>
      <c r="H408" s="489"/>
      <c r="I408" s="132"/>
      <c r="J408" s="132"/>
      <c r="K408" s="172"/>
      <c r="L408" s="328"/>
      <c r="M408" s="132"/>
      <c r="N408" s="132"/>
      <c r="O408" s="298"/>
      <c r="P408" s="431"/>
      <c r="Q408" s="431"/>
      <c r="R408" s="82"/>
      <c r="S408" s="5"/>
      <c r="T408" s="571"/>
      <c r="U408" s="6"/>
      <c r="V408" s="5"/>
      <c r="W408" s="572"/>
      <c r="X408" s="448"/>
      <c r="Y408" s="448"/>
      <c r="Z408" s="448"/>
      <c r="AA408" s="134"/>
    </row>
    <row r="409" spans="1:27" s="93" customFormat="1" ht="15">
      <c r="A409" s="428" t="s">
        <v>728</v>
      </c>
      <c r="B409" s="130" t="s">
        <v>111</v>
      </c>
      <c r="C409" s="4">
        <f aca="true" t="shared" si="203" ref="C409:H411">C286*$G388/1000000</f>
        <v>4104.227663469281</v>
      </c>
      <c r="D409" s="4">
        <f t="shared" si="203"/>
        <v>10183.58978299792</v>
      </c>
      <c r="E409" s="4">
        <f t="shared" si="203"/>
        <v>14464.312699098518</v>
      </c>
      <c r="F409" s="4">
        <f t="shared" si="203"/>
        <v>0</v>
      </c>
      <c r="G409" s="4">
        <f t="shared" si="203"/>
        <v>0</v>
      </c>
      <c r="H409" s="4">
        <f t="shared" si="203"/>
        <v>35893.4923783389</v>
      </c>
      <c r="I409" s="132">
        <f>SUM(C409:H409)</f>
        <v>64645.62252390462</v>
      </c>
      <c r="J409" s="4"/>
      <c r="K409" s="408">
        <f>J409+I409</f>
        <v>64645.62252390462</v>
      </c>
      <c r="L409" s="327"/>
      <c r="M409" s="23"/>
      <c r="N409" s="365"/>
      <c r="O409" s="677"/>
      <c r="P409" s="399"/>
      <c r="Q409" s="189">
        <f>K409+N409+O409+P409</f>
        <v>64645.62252390462</v>
      </c>
      <c r="S409" s="86"/>
      <c r="X409" s="35"/>
      <c r="Y409" s="35"/>
      <c r="Z409" s="35"/>
      <c r="AA409" s="35"/>
    </row>
    <row r="410" spans="1:27" s="93" customFormat="1" ht="15">
      <c r="A410" s="428" t="s">
        <v>729</v>
      </c>
      <c r="B410" s="1021" t="s">
        <v>104</v>
      </c>
      <c r="C410" s="4">
        <f t="shared" si="203"/>
        <v>1824.1011837641252</v>
      </c>
      <c r="D410" s="4">
        <f t="shared" si="203"/>
        <v>13578.119710663894</v>
      </c>
      <c r="E410" s="4">
        <f t="shared" si="203"/>
        <v>4821.437566366173</v>
      </c>
      <c r="F410" s="4">
        <f t="shared" si="203"/>
        <v>499.08207418628245</v>
      </c>
      <c r="G410" s="4">
        <f t="shared" si="203"/>
        <v>2811.8559255934388</v>
      </c>
      <c r="H410" s="4">
        <f t="shared" si="203"/>
        <v>31905.326558523473</v>
      </c>
      <c r="I410" s="132">
        <f>SUM(C410:H410)</f>
        <v>55439.92301909738</v>
      </c>
      <c r="J410" s="4"/>
      <c r="K410" s="408">
        <f>J410+I410</f>
        <v>55439.92301909738</v>
      </c>
      <c r="L410" s="327"/>
      <c r="M410" s="23"/>
      <c r="N410" s="365"/>
      <c r="O410" s="677"/>
      <c r="P410" s="399"/>
      <c r="Q410" s="189">
        <f>K410+N410+O410+P410</f>
        <v>55439.92301909738</v>
      </c>
      <c r="S410" s="86"/>
      <c r="X410" s="35"/>
      <c r="Y410" s="35"/>
      <c r="Z410" s="35"/>
      <c r="AA410" s="35"/>
    </row>
    <row r="411" spans="1:27" s="93" customFormat="1" ht="15">
      <c r="A411" s="428" t="s">
        <v>730</v>
      </c>
      <c r="B411" s="130" t="s">
        <v>103</v>
      </c>
      <c r="C411" s="4">
        <f t="shared" si="203"/>
        <v>5863.182376384688</v>
      </c>
      <c r="D411" s="4">
        <f t="shared" si="203"/>
        <v>21821.978106424114</v>
      </c>
      <c r="E411" s="4">
        <f t="shared" si="203"/>
        <v>15497.477891891269</v>
      </c>
      <c r="F411" s="4">
        <f t="shared" si="203"/>
        <v>3208.3847626261013</v>
      </c>
      <c r="G411" s="4">
        <f t="shared" si="203"/>
        <v>0</v>
      </c>
      <c r="H411" s="4">
        <f t="shared" si="203"/>
        <v>25638.208841670647</v>
      </c>
      <c r="I411" s="132">
        <f>SUM(C411:H411)</f>
        <v>72029.23197899683</v>
      </c>
      <c r="J411" s="4"/>
      <c r="K411" s="408">
        <f>J411+I411</f>
        <v>72029.23197899683</v>
      </c>
      <c r="L411" s="327"/>
      <c r="M411" s="23"/>
      <c r="N411" s="365"/>
      <c r="O411" s="677"/>
      <c r="P411" s="399"/>
      <c r="Q411" s="189">
        <f>K411+N411+O411+P411</f>
        <v>72029.23197899683</v>
      </c>
      <c r="S411" s="86"/>
      <c r="X411" s="35"/>
      <c r="Y411" s="35"/>
      <c r="Z411" s="35"/>
      <c r="AA411" s="35"/>
    </row>
    <row r="412" spans="1:17" s="93" customFormat="1" ht="15" customHeight="1">
      <c r="A412" s="428" t="s">
        <v>731</v>
      </c>
      <c r="B412" s="130" t="s">
        <v>727</v>
      </c>
      <c r="C412" s="4"/>
      <c r="D412" s="747"/>
      <c r="E412" s="747"/>
      <c r="F412" s="747"/>
      <c r="G412" s="747"/>
      <c r="H412" s="747"/>
      <c r="I412" s="132"/>
      <c r="J412" s="4"/>
      <c r="K412" s="408"/>
      <c r="L412" s="327"/>
      <c r="M412" s="4"/>
      <c r="N412" s="132"/>
      <c r="O412" s="568"/>
      <c r="P412" s="399"/>
      <c r="Q412" s="755"/>
    </row>
    <row r="413" spans="1:27" s="32" customFormat="1" ht="15" customHeight="1">
      <c r="A413" s="295" t="s">
        <v>580</v>
      </c>
      <c r="B413" s="1020" t="s">
        <v>708</v>
      </c>
      <c r="C413" s="132">
        <f aca="true" t="shared" si="204" ref="C413:H413">C290*$G392/1000000</f>
        <v>7328.97797048086</v>
      </c>
      <c r="D413" s="489">
        <f t="shared" si="204"/>
        <v>40916.20894954521</v>
      </c>
      <c r="E413" s="489">
        <f t="shared" si="204"/>
        <v>38743.69472972817</v>
      </c>
      <c r="F413" s="489">
        <f t="shared" si="204"/>
        <v>0</v>
      </c>
      <c r="G413" s="489">
        <f t="shared" si="204"/>
        <v>11297.635415330778</v>
      </c>
      <c r="H413" s="489">
        <f t="shared" si="204"/>
        <v>0</v>
      </c>
      <c r="I413" s="132">
        <f>SUM(C413:H413)</f>
        <v>98286.51706508502</v>
      </c>
      <c r="J413" s="132">
        <f>G400*J290/1000000</f>
        <v>3955.28782592308</v>
      </c>
      <c r="K413" s="172">
        <f>J413+I413</f>
        <v>102241.8048910081</v>
      </c>
      <c r="L413" s="328"/>
      <c r="M413" s="132"/>
      <c r="N413" s="132"/>
      <c r="O413" s="298"/>
      <c r="P413" s="431"/>
      <c r="Q413" s="431">
        <f>K413+N413+O413+P413</f>
        <v>102241.8048910081</v>
      </c>
      <c r="R413" s="82"/>
      <c r="S413" s="5"/>
      <c r="T413" s="571"/>
      <c r="U413" s="6"/>
      <c r="V413" s="5"/>
      <c r="W413" s="572"/>
      <c r="X413" s="448"/>
      <c r="Y413" s="448"/>
      <c r="Z413" s="448"/>
      <c r="AA413" s="134"/>
    </row>
    <row r="414" spans="1:27" s="32" customFormat="1" ht="15" customHeight="1">
      <c r="A414" s="295" t="s">
        <v>581</v>
      </c>
      <c r="B414" s="1020" t="s">
        <v>711</v>
      </c>
      <c r="C414" s="132"/>
      <c r="D414" s="489"/>
      <c r="E414" s="489"/>
      <c r="F414" s="489"/>
      <c r="G414" s="489"/>
      <c r="H414" s="489"/>
      <c r="I414" s="132"/>
      <c r="J414" s="132"/>
      <c r="K414" s="172"/>
      <c r="L414" s="328"/>
      <c r="M414" s="132"/>
      <c r="N414" s="132"/>
      <c r="O414" s="298"/>
      <c r="P414" s="431"/>
      <c r="Q414" s="431"/>
      <c r="R414" s="82"/>
      <c r="S414" s="5"/>
      <c r="T414" s="571"/>
      <c r="U414" s="6"/>
      <c r="V414" s="5"/>
      <c r="W414" s="572"/>
      <c r="X414" s="448"/>
      <c r="Y414" s="448"/>
      <c r="Z414" s="448"/>
      <c r="AA414" s="134"/>
    </row>
    <row r="415" spans="1:27" s="93" customFormat="1" ht="15">
      <c r="A415" s="428" t="s">
        <v>732</v>
      </c>
      <c r="B415" s="130" t="str">
        <f>B292</f>
        <v>Agriculture overharvesting and over grazing</v>
      </c>
      <c r="C415" s="4">
        <f aca="true" t="shared" si="205" ref="C415:H417">C292*$G394/1000000</f>
        <v>0</v>
      </c>
      <c r="D415" s="4">
        <f t="shared" si="205"/>
        <v>5091.794891498959</v>
      </c>
      <c r="E415" s="4">
        <f t="shared" si="205"/>
        <v>1446.4312699098518</v>
      </c>
      <c r="F415" s="4">
        <f t="shared" si="205"/>
        <v>0</v>
      </c>
      <c r="G415" s="4">
        <f t="shared" si="205"/>
        <v>0</v>
      </c>
      <c r="H415" s="4">
        <f t="shared" si="205"/>
        <v>2392.8994918892604</v>
      </c>
      <c r="I415" s="132">
        <f>SUM(C415:H415)</f>
        <v>8931.125653298071</v>
      </c>
      <c r="J415" s="4"/>
      <c r="K415" s="408">
        <f aca="true" t="shared" si="206" ref="K415:K423">J415+I415</f>
        <v>8931.125653298071</v>
      </c>
      <c r="L415" s="327"/>
      <c r="M415" s="23"/>
      <c r="N415" s="365"/>
      <c r="O415" s="677"/>
      <c r="P415" s="399"/>
      <c r="Q415" s="189">
        <f>K415+N415+O415+P415</f>
        <v>8931.125653298071</v>
      </c>
      <c r="S415" s="86"/>
      <c r="X415" s="35"/>
      <c r="Y415" s="35"/>
      <c r="Z415" s="35"/>
      <c r="AA415" s="35"/>
    </row>
    <row r="416" spans="1:27" s="93" customFormat="1" ht="15">
      <c r="A416" s="428" t="s">
        <v>733</v>
      </c>
      <c r="B416" s="130" t="str">
        <f>B293</f>
        <v>Clearing of forest beyond mean NEP</v>
      </c>
      <c r="C416" s="4">
        <f t="shared" si="205"/>
        <v>0</v>
      </c>
      <c r="D416" s="4">
        <f t="shared" si="205"/>
        <v>0</v>
      </c>
      <c r="E416" s="4">
        <f t="shared" si="205"/>
        <v>4842.961841216022</v>
      </c>
      <c r="F416" s="4">
        <f t="shared" si="205"/>
        <v>12031.442859847879</v>
      </c>
      <c r="G416" s="4">
        <f t="shared" si="205"/>
        <v>0</v>
      </c>
      <c r="H416" s="4">
        <f t="shared" si="205"/>
        <v>0</v>
      </c>
      <c r="I416" s="132">
        <f aca="true" t="shared" si="207" ref="I416:I423">SUM(C416:H416)</f>
        <v>16874.4047010639</v>
      </c>
      <c r="J416" s="4"/>
      <c r="K416" s="408">
        <f t="shared" si="206"/>
        <v>16874.4047010639</v>
      </c>
      <c r="L416" s="327"/>
      <c r="M416" s="23"/>
      <c r="N416" s="365"/>
      <c r="O416" s="677"/>
      <c r="P416" s="399"/>
      <c r="Q416" s="189">
        <f>K416+N416+O416+P416</f>
        <v>16874.4047010639</v>
      </c>
      <c r="S416" s="86"/>
      <c r="X416" s="35"/>
      <c r="Y416" s="35"/>
      <c r="Z416" s="35"/>
      <c r="AA416" s="35"/>
    </row>
    <row r="417" spans="1:27" s="93" customFormat="1" ht="15">
      <c r="A417" s="428" t="s">
        <v>734</v>
      </c>
      <c r="B417" s="130" t="str">
        <f>B294</f>
        <v>Overfishing</v>
      </c>
      <c r="C417" s="4">
        <f t="shared" si="205"/>
        <v>0</v>
      </c>
      <c r="D417" s="4">
        <f t="shared" si="205"/>
        <v>0</v>
      </c>
      <c r="E417" s="4">
        <f t="shared" si="205"/>
        <v>0</v>
      </c>
      <c r="F417" s="4">
        <f t="shared" si="205"/>
        <v>0</v>
      </c>
      <c r="G417" s="4">
        <f t="shared" si="205"/>
        <v>0</v>
      </c>
      <c r="H417" s="4">
        <f t="shared" si="205"/>
        <v>0</v>
      </c>
      <c r="I417" s="132">
        <f>SUM(C417:H417)</f>
        <v>0</v>
      </c>
      <c r="J417" s="4">
        <f>G400*J294/1000000</f>
        <v>988.8219564807697</v>
      </c>
      <c r="K417" s="408">
        <f>J417+I417</f>
        <v>988.8219564807697</v>
      </c>
      <c r="L417" s="327">
        <f>L294*G396/1000000</f>
        <v>1400</v>
      </c>
      <c r="M417" s="23">
        <f>M294*G396/1000000</f>
        <v>280</v>
      </c>
      <c r="N417" s="365">
        <f>M417+L417</f>
        <v>1680</v>
      </c>
      <c r="O417" s="677"/>
      <c r="P417" s="399"/>
      <c r="Q417" s="189">
        <f>K417+N417+O417+P417</f>
        <v>2668.8219564807696</v>
      </c>
      <c r="S417" s="86"/>
      <c r="X417" s="35"/>
      <c r="Y417" s="35"/>
      <c r="Z417" s="35"/>
      <c r="AA417" s="35"/>
    </row>
    <row r="418" spans="1:27" s="93" customFormat="1" ht="15">
      <c r="A418" s="428" t="s">
        <v>735</v>
      </c>
      <c r="B418" s="130" t="str">
        <f>B295</f>
        <v>Overhunting</v>
      </c>
      <c r="C418" s="4"/>
      <c r="D418" s="4"/>
      <c r="E418" s="4"/>
      <c r="F418" s="4"/>
      <c r="G418" s="4"/>
      <c r="H418" s="4"/>
      <c r="I418" s="132"/>
      <c r="J418" s="4"/>
      <c r="K418" s="408"/>
      <c r="L418" s="327"/>
      <c r="M418" s="23"/>
      <c r="N418" s="365"/>
      <c r="O418" s="677"/>
      <c r="P418" s="399"/>
      <c r="Q418" s="189"/>
      <c r="S418" s="86"/>
      <c r="X418" s="35"/>
      <c r="Y418" s="35"/>
      <c r="Z418" s="35"/>
      <c r="AA418" s="35"/>
    </row>
    <row r="419" spans="1:27" s="32" customFormat="1" ht="15" customHeight="1">
      <c r="A419" s="295" t="s">
        <v>736</v>
      </c>
      <c r="B419" s="1020" t="s">
        <v>712</v>
      </c>
      <c r="C419" s="132"/>
      <c r="D419" s="489"/>
      <c r="E419" s="489"/>
      <c r="F419" s="489"/>
      <c r="G419" s="489"/>
      <c r="H419" s="489"/>
      <c r="I419" s="132"/>
      <c r="J419" s="132"/>
      <c r="K419" s="172"/>
      <c r="L419" s="328"/>
      <c r="M419" s="132"/>
      <c r="N419" s="132"/>
      <c r="O419" s="298"/>
      <c r="P419" s="431"/>
      <c r="Q419" s="431"/>
      <c r="R419" s="82"/>
      <c r="S419" s="5"/>
      <c r="T419" s="571"/>
      <c r="U419" s="6"/>
      <c r="V419" s="5"/>
      <c r="W419" s="572"/>
      <c r="X419" s="448"/>
      <c r="Y419" s="448"/>
      <c r="Z419" s="448"/>
      <c r="AA419" s="134"/>
    </row>
    <row r="420" spans="1:27" s="93" customFormat="1" ht="15">
      <c r="A420" s="428" t="s">
        <v>737</v>
      </c>
      <c r="B420" s="1022" t="s">
        <v>106</v>
      </c>
      <c r="C420" s="4">
        <f aca="true" t="shared" si="208" ref="C420:H420">C297*$G399/1000000</f>
        <v>0</v>
      </c>
      <c r="D420" s="4">
        <f t="shared" si="208"/>
        <v>909.2490877676714</v>
      </c>
      <c r="E420" s="4">
        <f t="shared" si="208"/>
        <v>1291.456490990939</v>
      </c>
      <c r="F420" s="4">
        <f t="shared" si="208"/>
        <v>53.47307937710169</v>
      </c>
      <c r="G420" s="4">
        <f t="shared" si="208"/>
        <v>0</v>
      </c>
      <c r="H420" s="4">
        <f t="shared" si="208"/>
        <v>0</v>
      </c>
      <c r="I420" s="132">
        <f t="shared" si="207"/>
        <v>2254.1786581357123</v>
      </c>
      <c r="J420" s="4"/>
      <c r="K420" s="408">
        <f t="shared" si="206"/>
        <v>2254.1786581357123</v>
      </c>
      <c r="L420" s="327"/>
      <c r="M420" s="23"/>
      <c r="N420" s="365"/>
      <c r="O420" s="677"/>
      <c r="P420" s="399"/>
      <c r="Q420" s="189">
        <f>K420+N420+O420+P420</f>
        <v>2254.1786581357123</v>
      </c>
      <c r="S420" s="86"/>
      <c r="X420" s="35"/>
      <c r="Y420" s="35"/>
      <c r="Z420" s="35"/>
      <c r="AA420" s="35"/>
    </row>
    <row r="421" spans="1:27" s="93" customFormat="1" ht="15">
      <c r="A421" s="428" t="s">
        <v>738</v>
      </c>
      <c r="B421" s="1023" t="s">
        <v>117</v>
      </c>
      <c r="C421" s="4">
        <f aca="true" t="shared" si="209" ref="C421:H421">C299*$G400/1000000</f>
        <v>2778.5646478052076</v>
      </c>
      <c r="D421" s="4">
        <f t="shared" si="209"/>
        <v>5170.7224011916915</v>
      </c>
      <c r="E421" s="4">
        <f t="shared" si="209"/>
        <v>2448.087144277875</v>
      </c>
      <c r="F421" s="4">
        <f t="shared" si="209"/>
        <v>506.81830592522635</v>
      </c>
      <c r="G421" s="4">
        <f t="shared" si="209"/>
        <v>0</v>
      </c>
      <c r="H421" s="4">
        <f t="shared" si="209"/>
        <v>0</v>
      </c>
      <c r="I421" s="132">
        <f t="shared" si="207"/>
        <v>10904.1924992</v>
      </c>
      <c r="J421" s="4"/>
      <c r="K421" s="408">
        <f t="shared" si="206"/>
        <v>10904.1924992</v>
      </c>
      <c r="L421" s="327"/>
      <c r="M421" s="23"/>
      <c r="N421" s="365"/>
      <c r="O421" s="677"/>
      <c r="P421" s="399"/>
      <c r="Q421" s="189">
        <f>K421+N421+O421+P421</f>
        <v>10904.1924992</v>
      </c>
      <c r="S421" s="86"/>
      <c r="X421" s="35"/>
      <c r="Y421" s="35"/>
      <c r="Z421" s="35"/>
      <c r="AA421" s="35"/>
    </row>
    <row r="422" spans="1:27" s="93" customFormat="1" ht="15">
      <c r="A422" s="428" t="s">
        <v>739</v>
      </c>
      <c r="B422" s="1022" t="s">
        <v>107</v>
      </c>
      <c r="C422" s="4">
        <f aca="true" t="shared" si="210" ref="C422:H422">C298*$G401/1000000</f>
        <v>4266.886392667859</v>
      </c>
      <c r="D422" s="4">
        <f t="shared" si="210"/>
        <v>0</v>
      </c>
      <c r="E422" s="4">
        <f t="shared" si="210"/>
        <v>2255.6343396009443</v>
      </c>
      <c r="F422" s="4">
        <f t="shared" si="210"/>
        <v>933.9510461916434</v>
      </c>
      <c r="G422" s="4">
        <f t="shared" si="210"/>
        <v>657.741461594741</v>
      </c>
      <c r="H422" s="4">
        <f t="shared" si="210"/>
        <v>7463.204615944819</v>
      </c>
      <c r="I422" s="132">
        <f t="shared" si="207"/>
        <v>15577.417856000007</v>
      </c>
      <c r="J422" s="4"/>
      <c r="K422" s="408">
        <f t="shared" si="206"/>
        <v>15577.417856000007</v>
      </c>
      <c r="L422" s="327"/>
      <c r="M422" s="23"/>
      <c r="N422" s="365"/>
      <c r="O422" s="677"/>
      <c r="P422" s="399"/>
      <c r="Q422" s="189">
        <f>K422+N422+O422+P422</f>
        <v>15577.417856000007</v>
      </c>
      <c r="S422" s="86"/>
      <c r="X422" s="35"/>
      <c r="Y422" s="35"/>
      <c r="Z422" s="35"/>
      <c r="AA422" s="35"/>
    </row>
    <row r="423" spans="1:27" s="93" customFormat="1" ht="15">
      <c r="A423" s="428" t="s">
        <v>740</v>
      </c>
      <c r="B423" s="1022" t="s">
        <v>84</v>
      </c>
      <c r="C423" s="4">
        <f aca="true" t="shared" si="211" ref="C423:H423">C300*$G402/1000000</f>
        <v>0</v>
      </c>
      <c r="D423" s="4">
        <f t="shared" si="211"/>
        <v>0</v>
      </c>
      <c r="E423" s="4">
        <f t="shared" si="211"/>
        <v>0</v>
      </c>
      <c r="F423" s="4">
        <f t="shared" si="211"/>
        <v>1163.3540659312778</v>
      </c>
      <c r="G423" s="4">
        <f t="shared" si="211"/>
        <v>2731.0003980687234</v>
      </c>
      <c r="H423" s="4">
        <f t="shared" si="211"/>
        <v>0</v>
      </c>
      <c r="I423" s="132">
        <f t="shared" si="207"/>
        <v>3894.354464000001</v>
      </c>
      <c r="J423" s="4"/>
      <c r="K423" s="408">
        <f t="shared" si="206"/>
        <v>3894.354464000001</v>
      </c>
      <c r="L423" s="327"/>
      <c r="M423" s="23"/>
      <c r="N423" s="365"/>
      <c r="O423" s="677"/>
      <c r="P423" s="399"/>
      <c r="Q423" s="189">
        <f>K423+N423+O423+P423</f>
        <v>3894.354464000001</v>
      </c>
      <c r="S423" s="86"/>
      <c r="X423" s="35"/>
      <c r="Y423" s="35"/>
      <c r="Z423" s="35"/>
      <c r="AA423" s="35"/>
    </row>
    <row r="424" spans="1:27" s="42" customFormat="1" ht="15.75" thickBot="1">
      <c r="A424" s="429" t="s">
        <v>741</v>
      </c>
      <c r="B424" s="1024" t="s">
        <v>113</v>
      </c>
      <c r="C424" s="191"/>
      <c r="D424" s="191"/>
      <c r="E424" s="191"/>
      <c r="F424" s="355"/>
      <c r="G424" s="356"/>
      <c r="H424" s="191"/>
      <c r="I424" s="270"/>
      <c r="J424" s="191"/>
      <c r="K424" s="409"/>
      <c r="L424" s="404"/>
      <c r="M424" s="402"/>
      <c r="N424" s="366"/>
      <c r="O424" s="678"/>
      <c r="P424" s="401">
        <f>M453*0.01</f>
        <v>110635.07</v>
      </c>
      <c r="Q424" s="679">
        <f>K424+N424+O424+P424</f>
        <v>110635.07</v>
      </c>
      <c r="T424" s="86"/>
      <c r="U424" s="12"/>
      <c r="X424" s="82"/>
      <c r="Y424" s="82"/>
      <c r="Z424" s="82"/>
      <c r="AA424" s="82"/>
    </row>
    <row r="425" spans="1:27" s="93" customFormat="1" ht="18" customHeight="1" thickBot="1">
      <c r="A425" s="22"/>
      <c r="B425" s="5"/>
      <c r="C425" s="6"/>
      <c r="D425" s="6"/>
      <c r="E425" s="6"/>
      <c r="F425" s="6"/>
      <c r="G425" s="6"/>
      <c r="H425" s="6"/>
      <c r="I425" s="136"/>
      <c r="J425" s="6"/>
      <c r="K425" s="135"/>
      <c r="L425" s="6"/>
      <c r="M425" s="6"/>
      <c r="N425" s="6"/>
      <c r="O425" s="3"/>
      <c r="P425" s="3"/>
      <c r="Q425" s="8"/>
      <c r="R425" s="86"/>
      <c r="S425" s="86"/>
      <c r="T425" s="86"/>
      <c r="U425" s="12"/>
      <c r="X425" s="35"/>
      <c r="Y425" s="35"/>
      <c r="Z425" s="35"/>
      <c r="AA425" s="35"/>
    </row>
    <row r="426" spans="1:30" s="93" customFormat="1" ht="63.75" customHeight="1">
      <c r="A426" s="1068" t="s">
        <v>873</v>
      </c>
      <c r="B426" s="1069"/>
      <c r="C426" s="1013" t="s">
        <v>13</v>
      </c>
      <c r="D426" s="423" t="s">
        <v>4</v>
      </c>
      <c r="E426" s="423" t="s">
        <v>5</v>
      </c>
      <c r="F426" s="423" t="s">
        <v>6</v>
      </c>
      <c r="G426" s="423" t="s">
        <v>7</v>
      </c>
      <c r="H426" s="423" t="s">
        <v>8</v>
      </c>
      <c r="I426" s="423" t="s">
        <v>9</v>
      </c>
      <c r="J426" s="423" t="s">
        <v>10</v>
      </c>
      <c r="K426" s="423" t="s">
        <v>11</v>
      </c>
      <c r="L426" s="423" t="s">
        <v>12</v>
      </c>
      <c r="M426" s="424" t="s">
        <v>369</v>
      </c>
      <c r="S426" s="35"/>
      <c r="T426" s="437" t="s">
        <v>343</v>
      </c>
      <c r="U426" s="438">
        <v>20000</v>
      </c>
      <c r="V426" s="438"/>
      <c r="W426" s="439"/>
      <c r="X426" s="7"/>
      <c r="Y426" s="7"/>
      <c r="Z426" s="7"/>
      <c r="AA426" s="32"/>
      <c r="AB426" s="7"/>
      <c r="AC426" s="32"/>
      <c r="AD426" s="7"/>
    </row>
    <row r="427" spans="1:23" s="42" customFormat="1" ht="15">
      <c r="A427" s="55" t="s">
        <v>480</v>
      </c>
      <c r="B427" s="1014" t="s">
        <v>265</v>
      </c>
      <c r="C427" s="51">
        <v>203818.87614481695</v>
      </c>
      <c r="D427" s="51">
        <v>188298.74408890062</v>
      </c>
      <c r="E427" s="51">
        <v>175781.00012938</v>
      </c>
      <c r="F427" s="51">
        <v>179111.1336691765</v>
      </c>
      <c r="G427" s="51">
        <v>187398.5689567091</v>
      </c>
      <c r="H427" s="51">
        <v>183936.5831156788</v>
      </c>
      <c r="I427" s="51">
        <v>209298.77472008445</v>
      </c>
      <c r="J427" s="51">
        <v>221751.93641742234</v>
      </c>
      <c r="K427" s="51">
        <v>206152.45163295683</v>
      </c>
      <c r="L427" s="51">
        <v>193786.22127387775</v>
      </c>
      <c r="M427" s="422">
        <v>185981.9854237055</v>
      </c>
      <c r="S427" s="82"/>
      <c r="T427" s="440" t="s">
        <v>338</v>
      </c>
      <c r="U427" s="5">
        <f>U426</f>
        <v>20000</v>
      </c>
      <c r="V427" s="6">
        <f>U432*1.02</f>
        <v>21648.6432</v>
      </c>
      <c r="W427" s="441">
        <f>V432*1.02</f>
        <v>23433.18762004531</v>
      </c>
    </row>
    <row r="428" spans="1:23" s="42" customFormat="1" ht="15">
      <c r="A428" s="55" t="s">
        <v>481</v>
      </c>
      <c r="B428" s="1014" t="s">
        <v>861</v>
      </c>
      <c r="C428" s="51">
        <f>C427*20</f>
        <v>4076377.522896339</v>
      </c>
      <c r="D428" s="51">
        <f aca="true" t="shared" si="212" ref="D428:M428">D427*20</f>
        <v>3765974.8817780125</v>
      </c>
      <c r="E428" s="51">
        <f t="shared" si="212"/>
        <v>3515620.0025876</v>
      </c>
      <c r="F428" s="51">
        <f t="shared" si="212"/>
        <v>3582222.6733835298</v>
      </c>
      <c r="G428" s="51">
        <f t="shared" si="212"/>
        <v>3747971.379134182</v>
      </c>
      <c r="H428" s="51">
        <f t="shared" si="212"/>
        <v>3678731.662313576</v>
      </c>
      <c r="I428" s="51">
        <f t="shared" si="212"/>
        <v>4185975.4944016887</v>
      </c>
      <c r="J428" s="51">
        <f t="shared" si="212"/>
        <v>4435038.728348447</v>
      </c>
      <c r="K428" s="51">
        <f t="shared" si="212"/>
        <v>4123049.0326591367</v>
      </c>
      <c r="L428" s="51">
        <f t="shared" si="212"/>
        <v>3875724.425477555</v>
      </c>
      <c r="M428" s="422">
        <f t="shared" si="212"/>
        <v>3719639.7084741103</v>
      </c>
      <c r="S428" s="82"/>
      <c r="T428" s="442"/>
      <c r="U428" s="6">
        <f>U427*1.02</f>
        <v>20400</v>
      </c>
      <c r="V428" s="6">
        <f>V427*1.02</f>
        <v>22081.616063999998</v>
      </c>
      <c r="W428" s="441">
        <f>W427*1.02</f>
        <v>23901.851372446217</v>
      </c>
    </row>
    <row r="429" spans="1:23" s="42" customFormat="1" ht="15">
      <c r="A429" s="55" t="s">
        <v>482</v>
      </c>
      <c r="B429" s="1014" t="s">
        <v>862</v>
      </c>
      <c r="C429" s="51">
        <f>C428/11</f>
        <v>370579.7748087581</v>
      </c>
      <c r="D429" s="51">
        <f>D428/11</f>
        <v>342361.3528889102</v>
      </c>
      <c r="E429" s="51">
        <f aca="true" t="shared" si="213" ref="E429:M429">E428/11</f>
        <v>319601.81841705454</v>
      </c>
      <c r="F429" s="51">
        <f t="shared" si="213"/>
        <v>325656.60667123</v>
      </c>
      <c r="G429" s="51">
        <f t="shared" si="213"/>
        <v>340724.6708303802</v>
      </c>
      <c r="H429" s="51">
        <f t="shared" si="213"/>
        <v>334430.151119416</v>
      </c>
      <c r="I429" s="51">
        <f t="shared" si="213"/>
        <v>380543.2267637899</v>
      </c>
      <c r="J429" s="51">
        <f t="shared" si="213"/>
        <v>403185.3389407679</v>
      </c>
      <c r="K429" s="51">
        <f t="shared" si="213"/>
        <v>374822.6393326488</v>
      </c>
      <c r="L429" s="51">
        <f t="shared" si="213"/>
        <v>352338.5841343232</v>
      </c>
      <c r="M429" s="422">
        <f t="shared" si="213"/>
        <v>338149.0644067373</v>
      </c>
      <c r="S429" s="82"/>
      <c r="T429" s="442"/>
      <c r="U429" s="6"/>
      <c r="V429" s="6"/>
      <c r="W429" s="441"/>
    </row>
    <row r="430" spans="1:23" s="42" customFormat="1" ht="15">
      <c r="A430" s="55" t="s">
        <v>483</v>
      </c>
      <c r="B430" s="1014" t="s">
        <v>863</v>
      </c>
      <c r="C430" s="51">
        <f>C428*2</f>
        <v>8152755.045792678</v>
      </c>
      <c r="D430" s="51">
        <f>D428*2</f>
        <v>7531949.763556025</v>
      </c>
      <c r="E430" s="51">
        <f aca="true" t="shared" si="214" ref="E430:M430">E428*2</f>
        <v>7031240.0051752</v>
      </c>
      <c r="F430" s="51">
        <f t="shared" si="214"/>
        <v>7164445.3467670595</v>
      </c>
      <c r="G430" s="51">
        <f t="shared" si="214"/>
        <v>7495942.758268364</v>
      </c>
      <c r="H430" s="51">
        <f t="shared" si="214"/>
        <v>7357463.324627152</v>
      </c>
      <c r="I430" s="51">
        <f t="shared" si="214"/>
        <v>8371950.988803377</v>
      </c>
      <c r="J430" s="51">
        <f t="shared" si="214"/>
        <v>8870077.456696894</v>
      </c>
      <c r="K430" s="51">
        <f t="shared" si="214"/>
        <v>8246098.065318273</v>
      </c>
      <c r="L430" s="51">
        <f t="shared" si="214"/>
        <v>7751448.85095511</v>
      </c>
      <c r="M430" s="422">
        <f t="shared" si="214"/>
        <v>7439279.416948221</v>
      </c>
      <c r="S430" s="82"/>
      <c r="T430" s="442"/>
      <c r="U430" s="6"/>
      <c r="V430" s="6"/>
      <c r="W430" s="441"/>
    </row>
    <row r="431" spans="1:23" s="42" customFormat="1" ht="15">
      <c r="A431" s="55" t="s">
        <v>484</v>
      </c>
      <c r="B431" s="1015" t="s">
        <v>339</v>
      </c>
      <c r="C431" s="51">
        <f>C428*($U426*1.02)/1000000</f>
        <v>83158.10146708532</v>
      </c>
      <c r="D431" s="51">
        <f>D428*U$428/1000000</f>
        <v>76825.88758827145</v>
      </c>
      <c r="E431" s="51">
        <f>E428*U$431/1000000</f>
        <v>73153.0210138428</v>
      </c>
      <c r="F431" s="51">
        <f>F428*U$432/1000000</f>
        <v>76029.66717551977</v>
      </c>
      <c r="G431" s="51">
        <f>G428*V$427/1000000</f>
        <v>81138.49511068781</v>
      </c>
      <c r="H431" s="51">
        <f>H428*V$428/1000000</f>
        <v>81232.34016968888</v>
      </c>
      <c r="I431" s="51">
        <f>I428*V$431/1000000</f>
        <v>94281.76579510448</v>
      </c>
      <c r="J431" s="51">
        <f>J428*V$432/1000000</f>
        <v>101889.308454467</v>
      </c>
      <c r="K431" s="51">
        <f>K428*W$427/1000000</f>
        <v>96616.18154894788</v>
      </c>
      <c r="L431" s="51">
        <f>L428*W$428/1000000</f>
        <v>92636.98917832402</v>
      </c>
      <c r="M431" s="422">
        <f>M428*W$431/1000000</f>
        <v>90684.40098041731</v>
      </c>
      <c r="S431" s="82"/>
      <c r="T431" s="443"/>
      <c r="U431" s="6">
        <f>U428*1.02</f>
        <v>20808</v>
      </c>
      <c r="V431" s="6">
        <f>V428*1.02</f>
        <v>22523.24838528</v>
      </c>
      <c r="W431" s="441">
        <f>W428*1.02</f>
        <v>24379.888399895142</v>
      </c>
    </row>
    <row r="432" spans="1:23" s="42" customFormat="1" ht="15.75" thickBot="1">
      <c r="A432" s="55" t="s">
        <v>485</v>
      </c>
      <c r="B432" s="1015" t="s">
        <v>342</v>
      </c>
      <c r="C432" s="51">
        <f>1680*1.1</f>
        <v>1848.0000000000002</v>
      </c>
      <c r="D432" s="51">
        <f>C432*1.02</f>
        <v>1884.9600000000003</v>
      </c>
      <c r="E432" s="51">
        <f aca="true" t="shared" si="215" ref="E432:M432">D432*1.02</f>
        <v>1922.6592000000003</v>
      </c>
      <c r="F432" s="51">
        <f t="shared" si="215"/>
        <v>1961.1123840000002</v>
      </c>
      <c r="G432" s="51">
        <f t="shared" si="215"/>
        <v>2000.3346316800003</v>
      </c>
      <c r="H432" s="51">
        <f t="shared" si="215"/>
        <v>2040.3413243136004</v>
      </c>
      <c r="I432" s="51">
        <f t="shared" si="215"/>
        <v>2081.1481507998724</v>
      </c>
      <c r="J432" s="51">
        <f t="shared" si="215"/>
        <v>2122.7711138158697</v>
      </c>
      <c r="K432" s="51">
        <f t="shared" si="215"/>
        <v>2165.226536092187</v>
      </c>
      <c r="L432" s="51">
        <f t="shared" si="215"/>
        <v>2208.531066814031</v>
      </c>
      <c r="M432" s="422">
        <f t="shared" si="215"/>
        <v>2252.701688150312</v>
      </c>
      <c r="S432" s="82"/>
      <c r="T432" s="444"/>
      <c r="U432" s="445">
        <f>U431*1.02</f>
        <v>21224.16</v>
      </c>
      <c r="V432" s="445">
        <f>V431*1.02</f>
        <v>22973.7133529856</v>
      </c>
      <c r="W432" s="446"/>
    </row>
    <row r="433" spans="1:20" s="42" customFormat="1" ht="15">
      <c r="A433" s="55" t="s">
        <v>486</v>
      </c>
      <c r="B433" s="1015" t="s">
        <v>341</v>
      </c>
      <c r="C433" s="51">
        <f>P407/C453*C455*3</f>
        <v>29678.066499656292</v>
      </c>
      <c r="D433" s="51">
        <f>C433*1.05</f>
        <v>31161.96982463911</v>
      </c>
      <c r="E433" s="51">
        <f aca="true" t="shared" si="216" ref="E433:M433">D433*1.05</f>
        <v>32720.068315871067</v>
      </c>
      <c r="F433" s="51">
        <f t="shared" si="216"/>
        <v>34356.07173166462</v>
      </c>
      <c r="G433" s="51">
        <f t="shared" si="216"/>
        <v>36073.875318247854</v>
      </c>
      <c r="H433" s="51">
        <f t="shared" si="216"/>
        <v>37877.56908416025</v>
      </c>
      <c r="I433" s="51">
        <f t="shared" si="216"/>
        <v>39771.447538368266</v>
      </c>
      <c r="J433" s="51">
        <f t="shared" si="216"/>
        <v>41760.01991528668</v>
      </c>
      <c r="K433" s="51">
        <f t="shared" si="216"/>
        <v>43848.02091105101</v>
      </c>
      <c r="L433" s="51">
        <f t="shared" si="216"/>
        <v>46040.42195660356</v>
      </c>
      <c r="M433" s="422">
        <f t="shared" si="216"/>
        <v>48342.44305443374</v>
      </c>
      <c r="S433" s="82"/>
      <c r="T433" s="82"/>
    </row>
    <row r="434" spans="1:20" s="169" customFormat="1" ht="15.75">
      <c r="A434" s="295" t="s">
        <v>487</v>
      </c>
      <c r="B434" s="1016" t="s">
        <v>348</v>
      </c>
      <c r="C434" s="494">
        <f>SUM(C431:C433)</f>
        <v>114684.1679667416</v>
      </c>
      <c r="D434" s="494">
        <f aca="true" t="shared" si="217" ref="D434:M434">SUM(D431:D433)</f>
        <v>109872.81741291056</v>
      </c>
      <c r="E434" s="494">
        <f t="shared" si="217"/>
        <v>107795.74852971386</v>
      </c>
      <c r="F434" s="494">
        <f t="shared" si="217"/>
        <v>112346.8512911844</v>
      </c>
      <c r="G434" s="494">
        <f t="shared" si="217"/>
        <v>119212.70506061567</v>
      </c>
      <c r="H434" s="494">
        <f t="shared" si="217"/>
        <v>121150.25057816273</v>
      </c>
      <c r="I434" s="494">
        <f t="shared" si="217"/>
        <v>136134.3614842726</v>
      </c>
      <c r="J434" s="494">
        <f t="shared" si="217"/>
        <v>145772.09948356953</v>
      </c>
      <c r="K434" s="495">
        <f t="shared" si="217"/>
        <v>142629.42899609107</v>
      </c>
      <c r="L434" s="494">
        <f t="shared" si="217"/>
        <v>140885.94220174162</v>
      </c>
      <c r="M434" s="496">
        <f t="shared" si="217"/>
        <v>141279.54572300136</v>
      </c>
      <c r="N434" s="432"/>
      <c r="S434" s="357"/>
      <c r="T434" s="357"/>
    </row>
    <row r="435" spans="1:27" s="93" customFormat="1" ht="6.75" customHeight="1">
      <c r="A435" s="203"/>
      <c r="B435" s="25"/>
      <c r="C435" s="281"/>
      <c r="D435" s="281"/>
      <c r="E435" s="281"/>
      <c r="F435" s="281"/>
      <c r="G435" s="281"/>
      <c r="H435" s="281"/>
      <c r="I435" s="15"/>
      <c r="J435" s="13"/>
      <c r="K435" s="15"/>
      <c r="L435" s="16"/>
      <c r="M435" s="340"/>
      <c r="N435" s="53"/>
      <c r="O435" s="53"/>
      <c r="P435" s="53"/>
      <c r="Q435" s="49"/>
      <c r="R435" s="49"/>
      <c r="S435" s="42"/>
      <c r="T435" s="42"/>
      <c r="U435" s="42"/>
      <c r="V435" s="42"/>
      <c r="X435" s="35"/>
      <c r="Y435" s="35"/>
      <c r="Z435" s="35"/>
      <c r="AA435" s="35"/>
    </row>
    <row r="436" spans="1:27" ht="16.5" thickBot="1">
      <c r="A436" s="434" t="s">
        <v>488</v>
      </c>
      <c r="B436" s="1017" t="s">
        <v>351</v>
      </c>
      <c r="C436" s="1018">
        <f>C434/2</f>
        <v>57342.0839833708</v>
      </c>
      <c r="D436" s="498">
        <f aca="true" t="shared" si="218" ref="D436:M436">D434/2</f>
        <v>54936.40870645528</v>
      </c>
      <c r="E436" s="498">
        <f t="shared" si="218"/>
        <v>53897.87426485693</v>
      </c>
      <c r="F436" s="498">
        <f t="shared" si="218"/>
        <v>56173.4256455922</v>
      </c>
      <c r="G436" s="498">
        <f t="shared" si="218"/>
        <v>59606.352530307835</v>
      </c>
      <c r="H436" s="498">
        <f t="shared" si="218"/>
        <v>60575.12528908136</v>
      </c>
      <c r="I436" s="498">
        <f t="shared" si="218"/>
        <v>68067.1807421363</v>
      </c>
      <c r="J436" s="498">
        <f t="shared" si="218"/>
        <v>72886.04974178477</v>
      </c>
      <c r="K436" s="498">
        <f t="shared" si="218"/>
        <v>71314.71449804553</v>
      </c>
      <c r="L436" s="498">
        <f t="shared" si="218"/>
        <v>70442.97110087081</v>
      </c>
      <c r="M436" s="498">
        <f t="shared" si="218"/>
        <v>70639.77286150068</v>
      </c>
      <c r="N436" s="42"/>
      <c r="O436" s="42"/>
      <c r="P436" s="42"/>
      <c r="R436" s="7"/>
      <c r="S436" s="35"/>
      <c r="T436" s="7"/>
      <c r="U436" s="7"/>
      <c r="X436" s="7"/>
      <c r="Y436" s="7"/>
      <c r="Z436" s="7"/>
      <c r="AA436" s="7"/>
    </row>
    <row r="437" spans="9:27" ht="15.75" thickBot="1">
      <c r="I437" s="7"/>
      <c r="K437" s="7"/>
      <c r="M437" s="7"/>
      <c r="N437" s="42"/>
      <c r="O437" s="42"/>
      <c r="P437" s="42"/>
      <c r="R437" s="7"/>
      <c r="S437" s="35"/>
      <c r="T437" s="7"/>
      <c r="U437" s="7"/>
      <c r="X437" s="7"/>
      <c r="Y437" s="7"/>
      <c r="Z437" s="7"/>
      <c r="AA437" s="7"/>
    </row>
    <row r="438" spans="1:29" s="93" customFormat="1" ht="114" customHeight="1">
      <c r="A438" s="1036" t="s">
        <v>702</v>
      </c>
      <c r="B438" s="1072"/>
      <c r="C438" s="632" t="s">
        <v>458</v>
      </c>
      <c r="D438" s="632" t="s">
        <v>459</v>
      </c>
      <c r="E438" s="632" t="s">
        <v>460</v>
      </c>
      <c r="F438" s="632" t="s">
        <v>455</v>
      </c>
      <c r="G438" s="632" t="s">
        <v>466</v>
      </c>
      <c r="H438" s="632" t="s">
        <v>468</v>
      </c>
      <c r="I438" s="632" t="s">
        <v>469</v>
      </c>
      <c r="J438" s="632" t="s">
        <v>467</v>
      </c>
      <c r="K438" s="632" t="s">
        <v>462</v>
      </c>
      <c r="L438" s="632" t="s">
        <v>456</v>
      </c>
      <c r="M438" s="632" t="s">
        <v>461</v>
      </c>
      <c r="N438" s="632" t="s">
        <v>457</v>
      </c>
      <c r="O438" s="632" t="s">
        <v>471</v>
      </c>
      <c r="P438" s="632" t="s">
        <v>463</v>
      </c>
      <c r="Q438" s="632" t="s">
        <v>464</v>
      </c>
      <c r="R438" s="633" t="s">
        <v>472</v>
      </c>
      <c r="S438" s="35"/>
      <c r="T438" s="437" t="s">
        <v>343</v>
      </c>
      <c r="U438" s="438">
        <v>20000</v>
      </c>
      <c r="V438" s="438"/>
      <c r="W438" s="439"/>
      <c r="AA438" s="32"/>
      <c r="AC438" s="32"/>
    </row>
    <row r="439" spans="1:27" s="93" customFormat="1" ht="15">
      <c r="A439" s="583" t="s">
        <v>583</v>
      </c>
      <c r="B439" s="92" t="s">
        <v>470</v>
      </c>
      <c r="C439" s="4"/>
      <c r="D439" s="4"/>
      <c r="E439" s="4"/>
      <c r="F439" s="4"/>
      <c r="G439" s="4"/>
      <c r="H439" s="4"/>
      <c r="I439" s="9"/>
      <c r="J439" s="4"/>
      <c r="K439" s="575"/>
      <c r="L439" s="4"/>
      <c r="M439" s="4"/>
      <c r="N439" s="4"/>
      <c r="O439" s="1"/>
      <c r="P439" s="1"/>
      <c r="Q439" s="1"/>
      <c r="R439" s="634"/>
      <c r="S439" s="86"/>
      <c r="T439" s="86"/>
      <c r="U439" s="12"/>
      <c r="X439" s="35"/>
      <c r="Y439" s="35"/>
      <c r="Z439" s="35"/>
      <c r="AA439" s="35"/>
    </row>
    <row r="440" spans="1:18" s="93" customFormat="1" ht="15.75">
      <c r="A440" s="615" t="s">
        <v>584</v>
      </c>
      <c r="B440" s="574" t="s">
        <v>465</v>
      </c>
      <c r="C440" s="139"/>
      <c r="D440" s="139"/>
      <c r="E440" s="139"/>
      <c r="F440" s="139"/>
      <c r="G440" s="139"/>
      <c r="H440" s="139"/>
      <c r="I440" s="287"/>
      <c r="J440" s="139"/>
      <c r="K440" s="139"/>
      <c r="L440" s="139"/>
      <c r="M440" s="139"/>
      <c r="N440" s="139"/>
      <c r="O440" s="587"/>
      <c r="P440" s="587"/>
      <c r="Q440" s="587"/>
      <c r="R440" s="635"/>
    </row>
    <row r="441" spans="1:18" ht="15">
      <c r="A441" s="583" t="s">
        <v>585</v>
      </c>
      <c r="B441" s="19" t="s">
        <v>473</v>
      </c>
      <c r="C441" s="92"/>
      <c r="D441" s="92"/>
      <c r="E441" s="92"/>
      <c r="F441" s="92"/>
      <c r="G441" s="92"/>
      <c r="H441" s="92"/>
      <c r="I441" s="31"/>
      <c r="J441" s="92"/>
      <c r="K441" s="31"/>
      <c r="L441" s="92"/>
      <c r="M441" s="92"/>
      <c r="N441" s="92"/>
      <c r="O441" s="92"/>
      <c r="P441" s="92"/>
      <c r="Q441" s="92"/>
      <c r="R441" s="561"/>
    </row>
    <row r="442" spans="1:18" s="93" customFormat="1" ht="15.75">
      <c r="A442" s="615" t="s">
        <v>586</v>
      </c>
      <c r="B442" s="574" t="s">
        <v>582</v>
      </c>
      <c r="C442" s="139"/>
      <c r="D442" s="139"/>
      <c r="E442" s="139"/>
      <c r="F442" s="139"/>
      <c r="G442" s="139"/>
      <c r="H442" s="139"/>
      <c r="I442" s="287"/>
      <c r="J442" s="139"/>
      <c r="K442" s="139"/>
      <c r="L442" s="139"/>
      <c r="M442" s="139"/>
      <c r="N442" s="139"/>
      <c r="O442" s="587"/>
      <c r="P442" s="587"/>
      <c r="Q442" s="587"/>
      <c r="R442" s="635"/>
    </row>
    <row r="443" spans="1:27" s="93" customFormat="1" ht="15">
      <c r="A443" s="583" t="s">
        <v>587</v>
      </c>
      <c r="B443" s="19" t="s">
        <v>474</v>
      </c>
      <c r="C443" s="92"/>
      <c r="D443" s="92"/>
      <c r="E443" s="92"/>
      <c r="F443" s="92"/>
      <c r="G443" s="92"/>
      <c r="H443" s="92"/>
      <c r="I443" s="31"/>
      <c r="J443" s="92"/>
      <c r="K443" s="31"/>
      <c r="L443" s="92"/>
      <c r="M443" s="92"/>
      <c r="N443" s="92"/>
      <c r="O443" s="92"/>
      <c r="P443" s="92"/>
      <c r="Q443" s="92"/>
      <c r="R443" s="561"/>
      <c r="S443" s="42"/>
      <c r="T443" s="42"/>
      <c r="U443" s="42"/>
      <c r="X443" s="35"/>
      <c r="Y443" s="35"/>
      <c r="Z443" s="35"/>
      <c r="AA443" s="35"/>
    </row>
    <row r="444" spans="1:18" s="93" customFormat="1" ht="15.75">
      <c r="A444" s="615" t="s">
        <v>588</v>
      </c>
      <c r="B444" s="574" t="s">
        <v>698</v>
      </c>
      <c r="C444" s="139"/>
      <c r="D444" s="139"/>
      <c r="E444" s="139"/>
      <c r="F444" s="139"/>
      <c r="G444" s="139"/>
      <c r="H444" s="139"/>
      <c r="I444" s="287"/>
      <c r="J444" s="139"/>
      <c r="K444" s="139"/>
      <c r="L444" s="139"/>
      <c r="M444" s="139"/>
      <c r="N444" s="139"/>
      <c r="O444" s="587"/>
      <c r="P444" s="587"/>
      <c r="Q444" s="587"/>
      <c r="R444" s="635"/>
    </row>
    <row r="445" spans="1:27" s="93" customFormat="1" ht="15">
      <c r="A445" s="583" t="s">
        <v>504</v>
      </c>
      <c r="B445" s="92" t="s">
        <v>475</v>
      </c>
      <c r="C445" s="4"/>
      <c r="D445" s="4"/>
      <c r="E445" s="4"/>
      <c r="F445" s="4"/>
      <c r="G445" s="4"/>
      <c r="H445" s="4"/>
      <c r="I445" s="9"/>
      <c r="J445" s="4"/>
      <c r="K445" s="575"/>
      <c r="L445" s="4"/>
      <c r="M445" s="4"/>
      <c r="N445" s="4"/>
      <c r="O445" s="1"/>
      <c r="P445" s="1"/>
      <c r="Q445" s="1"/>
      <c r="R445" s="634"/>
      <c r="S445" s="86"/>
      <c r="T445" s="86"/>
      <c r="U445" s="12"/>
      <c r="X445" s="35"/>
      <c r="Y445" s="35"/>
      <c r="Z445" s="35"/>
      <c r="AA445" s="35"/>
    </row>
    <row r="446" spans="1:18" s="93" customFormat="1" ht="15.75">
      <c r="A446" s="615" t="s">
        <v>502</v>
      </c>
      <c r="B446" s="574" t="s">
        <v>699</v>
      </c>
      <c r="C446" s="139"/>
      <c r="D446" s="139"/>
      <c r="E446" s="139"/>
      <c r="F446" s="139"/>
      <c r="G446" s="139"/>
      <c r="H446" s="139"/>
      <c r="I446" s="287"/>
      <c r="J446" s="139"/>
      <c r="K446" s="139"/>
      <c r="L446" s="139"/>
      <c r="M446" s="139"/>
      <c r="N446" s="139"/>
      <c r="O446" s="587"/>
      <c r="P446" s="587"/>
      <c r="Q446" s="587"/>
      <c r="R446" s="635"/>
    </row>
    <row r="447" spans="1:27" s="93" customFormat="1" ht="15">
      <c r="A447" s="583" t="s">
        <v>505</v>
      </c>
      <c r="B447" s="92" t="s">
        <v>476</v>
      </c>
      <c r="C447" s="4"/>
      <c r="D447" s="4"/>
      <c r="E447" s="4"/>
      <c r="F447" s="4"/>
      <c r="G447" s="4"/>
      <c r="H447" s="4"/>
      <c r="I447" s="9"/>
      <c r="J447" s="4"/>
      <c r="K447" s="575"/>
      <c r="L447" s="4"/>
      <c r="M447" s="4"/>
      <c r="N447" s="4"/>
      <c r="O447" s="1"/>
      <c r="P447" s="1"/>
      <c r="Q447" s="1"/>
      <c r="R447" s="634"/>
      <c r="S447" s="86"/>
      <c r="T447" s="86"/>
      <c r="U447" s="12"/>
      <c r="X447" s="35"/>
      <c r="Y447" s="35"/>
      <c r="Z447" s="35"/>
      <c r="AA447" s="35"/>
    </row>
    <row r="448" spans="1:18" s="93" customFormat="1" ht="15.75">
      <c r="A448" s="615" t="s">
        <v>509</v>
      </c>
      <c r="B448" s="574" t="s">
        <v>700</v>
      </c>
      <c r="C448" s="139"/>
      <c r="D448" s="139"/>
      <c r="E448" s="139"/>
      <c r="F448" s="139"/>
      <c r="G448" s="139"/>
      <c r="H448" s="139"/>
      <c r="I448" s="287"/>
      <c r="J448" s="139"/>
      <c r="K448" s="139"/>
      <c r="L448" s="139"/>
      <c r="M448" s="139"/>
      <c r="N448" s="139"/>
      <c r="O448" s="587"/>
      <c r="P448" s="587"/>
      <c r="Q448" s="587"/>
      <c r="R448" s="635"/>
    </row>
    <row r="449" spans="1:27" s="93" customFormat="1" ht="15">
      <c r="A449" s="583" t="s">
        <v>680</v>
      </c>
      <c r="B449" s="92" t="s">
        <v>477</v>
      </c>
      <c r="C449" s="4"/>
      <c r="D449" s="4"/>
      <c r="E449" s="4"/>
      <c r="F449" s="4"/>
      <c r="G449" s="4"/>
      <c r="H449" s="4"/>
      <c r="I449" s="9"/>
      <c r="J449" s="4"/>
      <c r="K449" s="575"/>
      <c r="L449" s="4"/>
      <c r="M449" s="4"/>
      <c r="N449" s="4"/>
      <c r="O449" s="1"/>
      <c r="P449" s="1"/>
      <c r="Q449" s="1"/>
      <c r="R449" s="634"/>
      <c r="S449" s="86"/>
      <c r="T449" s="86"/>
      <c r="U449" s="12"/>
      <c r="X449" s="35"/>
      <c r="Y449" s="35"/>
      <c r="Z449" s="35"/>
      <c r="AA449" s="35"/>
    </row>
    <row r="450" spans="1:18" s="93" customFormat="1" ht="15.75">
      <c r="A450" s="615" t="s">
        <v>681</v>
      </c>
      <c r="B450" s="574" t="s">
        <v>701</v>
      </c>
      <c r="C450" s="139"/>
      <c r="D450" s="139"/>
      <c r="E450" s="139"/>
      <c r="F450" s="139"/>
      <c r="G450" s="139"/>
      <c r="H450" s="139"/>
      <c r="I450" s="287"/>
      <c r="J450" s="139"/>
      <c r="K450" s="139"/>
      <c r="L450" s="139"/>
      <c r="M450" s="139"/>
      <c r="N450" s="139"/>
      <c r="O450" s="587"/>
      <c r="P450" s="587"/>
      <c r="Q450" s="587"/>
      <c r="R450" s="635"/>
    </row>
    <row r="451" spans="1:27" s="93" customFormat="1" ht="15.75" thickBot="1">
      <c r="A451" s="22"/>
      <c r="B451" s="5"/>
      <c r="C451" s="6"/>
      <c r="D451" s="6"/>
      <c r="E451" s="6"/>
      <c r="F451" s="6"/>
      <c r="G451" s="6"/>
      <c r="H451" s="6"/>
      <c r="I451" s="136"/>
      <c r="J451" s="6"/>
      <c r="K451" s="135"/>
      <c r="L451" s="6"/>
      <c r="M451" s="6"/>
      <c r="N451" s="6"/>
      <c r="O451" s="3"/>
      <c r="P451" s="3"/>
      <c r="Q451" s="8"/>
      <c r="R451" s="86"/>
      <c r="S451" s="86"/>
      <c r="T451" s="86"/>
      <c r="U451" s="12"/>
      <c r="X451" s="35"/>
      <c r="Y451" s="35"/>
      <c r="Z451" s="35"/>
      <c r="AA451" s="35"/>
    </row>
    <row r="452" spans="1:19" s="425" customFormat="1" ht="38.25" customHeight="1">
      <c r="A452" s="1068" t="s">
        <v>589</v>
      </c>
      <c r="B452" s="1069"/>
      <c r="C452" s="1013" t="s">
        <v>13</v>
      </c>
      <c r="D452" s="423" t="s">
        <v>4</v>
      </c>
      <c r="E452" s="423" t="s">
        <v>5</v>
      </c>
      <c r="F452" s="423" t="s">
        <v>6</v>
      </c>
      <c r="G452" s="423" t="s">
        <v>7</v>
      </c>
      <c r="H452" s="423" t="s">
        <v>8</v>
      </c>
      <c r="I452" s="423" t="s">
        <v>9</v>
      </c>
      <c r="J452" s="423" t="s">
        <v>10</v>
      </c>
      <c r="K452" s="423" t="s">
        <v>11</v>
      </c>
      <c r="L452" s="423" t="s">
        <v>12</v>
      </c>
      <c r="M452" s="424" t="s">
        <v>369</v>
      </c>
      <c r="O452" s="639" t="s">
        <v>344</v>
      </c>
      <c r="P452" s="640"/>
      <c r="Q452" s="426"/>
      <c r="R452" s="426"/>
      <c r="S452" s="427"/>
    </row>
    <row r="453" spans="1:19" s="357" customFormat="1" ht="18" customHeight="1" thickBot="1">
      <c r="A453" s="972" t="s">
        <v>590</v>
      </c>
      <c r="B453" s="131" t="s">
        <v>3</v>
      </c>
      <c r="C453" s="34">
        <v>7019742</v>
      </c>
      <c r="D453" s="34">
        <v>7382819</v>
      </c>
      <c r="E453" s="34">
        <v>7793272</v>
      </c>
      <c r="F453" s="34">
        <v>8164530</v>
      </c>
      <c r="G453" s="34">
        <v>8588753</v>
      </c>
      <c r="H453" s="34">
        <v>9207404</v>
      </c>
      <c r="I453" s="34">
        <v>9586447</v>
      </c>
      <c r="J453" s="34">
        <v>9944597</v>
      </c>
      <c r="K453" s="34">
        <v>10111544</v>
      </c>
      <c r="L453" s="34">
        <v>10612197</v>
      </c>
      <c r="M453" s="913">
        <v>11063507</v>
      </c>
      <c r="O453" s="914">
        <f>SUM(C452:M453)</f>
        <v>99474812</v>
      </c>
      <c r="P453" s="915"/>
      <c r="Q453" s="586"/>
      <c r="R453" s="586"/>
      <c r="S453" s="185"/>
    </row>
    <row r="454" spans="1:19" s="35" customFormat="1" ht="15">
      <c r="A454" s="972" t="s">
        <v>591</v>
      </c>
      <c r="B454" s="922" t="s">
        <v>31</v>
      </c>
      <c r="C454" s="418">
        <v>5502801</v>
      </c>
      <c r="D454" s="418">
        <v>5814430</v>
      </c>
      <c r="E454" s="418">
        <v>6103147</v>
      </c>
      <c r="F454" s="10">
        <v>6371519.9</v>
      </c>
      <c r="G454" s="10">
        <v>6730782.2</v>
      </c>
      <c r="H454" s="10">
        <v>7232263.3</v>
      </c>
      <c r="I454" s="10">
        <v>7554659.9</v>
      </c>
      <c r="J454" s="10">
        <v>7854974.1</v>
      </c>
      <c r="K454" s="10">
        <v>8013701.3</v>
      </c>
      <c r="L454" s="10">
        <v>8375158.6</v>
      </c>
      <c r="M454" s="420">
        <v>8759168.2</v>
      </c>
      <c r="P454" s="82"/>
      <c r="Q454" s="82"/>
      <c r="R454" s="82"/>
      <c r="S454" s="82"/>
    </row>
    <row r="455" spans="1:19" s="35" customFormat="1" ht="15">
      <c r="A455" s="972" t="s">
        <v>592</v>
      </c>
      <c r="B455" s="922" t="s">
        <v>349</v>
      </c>
      <c r="C455" s="361">
        <f>(D455/D454*C454)+20000</f>
        <v>627686.3502276154</v>
      </c>
      <c r="D455" s="361">
        <f>E455/E454*D454</f>
        <v>642100.2222966002</v>
      </c>
      <c r="E455" s="361">
        <f>F455/F454*E454</f>
        <v>673983.8720921619</v>
      </c>
      <c r="F455" s="361">
        <f>G455/G454*F454</f>
        <v>703620.8784278446</v>
      </c>
      <c r="G455" s="34">
        <v>743295</v>
      </c>
      <c r="H455" s="28">
        <v>992695</v>
      </c>
      <c r="I455" s="28">
        <v>979143</v>
      </c>
      <c r="J455" s="28">
        <v>936967</v>
      </c>
      <c r="K455" s="28">
        <v>935265</v>
      </c>
      <c r="L455" s="28">
        <v>1027522</v>
      </c>
      <c r="M455" s="421">
        <v>1179569</v>
      </c>
      <c r="N455" s="11"/>
      <c r="P455" s="82"/>
      <c r="Q455" s="82"/>
      <c r="R455" s="82"/>
      <c r="S455" s="82"/>
    </row>
    <row r="456" spans="1:19" s="35" customFormat="1" ht="15">
      <c r="A456" s="972" t="s">
        <v>593</v>
      </c>
      <c r="B456" s="922" t="s">
        <v>350</v>
      </c>
      <c r="C456" s="361">
        <f>(D456/D453*C453)+20000</f>
        <v>578295.997636211</v>
      </c>
      <c r="D456" s="361">
        <f>E456/E453*D453</f>
        <v>587172.3346773391</v>
      </c>
      <c r="E456" s="361">
        <f>F456/F453*E453</f>
        <v>619816.5924175489</v>
      </c>
      <c r="F456" s="361">
        <f>G456/G453*F453</f>
        <v>649343.5829380587</v>
      </c>
      <c r="G456" s="28">
        <v>683083</v>
      </c>
      <c r="H456" s="28">
        <v>849740</v>
      </c>
      <c r="I456" s="28">
        <v>884707</v>
      </c>
      <c r="J456" s="28">
        <v>891899</v>
      </c>
      <c r="K456" s="28">
        <v>869237</v>
      </c>
      <c r="L456" s="28">
        <v>952955</v>
      </c>
      <c r="M456" s="421">
        <v>1052720</v>
      </c>
      <c r="N456" s="419"/>
      <c r="O456" s="81"/>
      <c r="P456" s="81"/>
      <c r="Q456" s="81"/>
      <c r="R456" s="81"/>
      <c r="S456" s="82"/>
    </row>
    <row r="457" spans="1:19" s="35" customFormat="1" ht="15">
      <c r="A457" s="973" t="s">
        <v>595</v>
      </c>
      <c r="B457" s="923" t="s">
        <v>14</v>
      </c>
      <c r="C457" s="133">
        <f>D457/D453*C453</f>
        <v>962481.2820341389</v>
      </c>
      <c r="D457" s="133">
        <v>1012263</v>
      </c>
      <c r="E457" s="133">
        <v>1058244</v>
      </c>
      <c r="F457" s="133">
        <v>1100919</v>
      </c>
      <c r="G457" s="133">
        <v>1165998</v>
      </c>
      <c r="H457" s="133">
        <v>1257238</v>
      </c>
      <c r="I457" s="133">
        <v>1317361</v>
      </c>
      <c r="J457" s="133">
        <v>1371049</v>
      </c>
      <c r="K457" s="133">
        <v>1391874</v>
      </c>
      <c r="L457" s="133">
        <v>1468747</v>
      </c>
      <c r="M457" s="974">
        <v>1539860</v>
      </c>
      <c r="N457" s="81"/>
      <c r="O457" s="81"/>
      <c r="P457" s="81"/>
      <c r="Q457" s="81"/>
      <c r="R457" s="81"/>
      <c r="S457" s="82"/>
    </row>
    <row r="458" spans="1:27" s="93" customFormat="1" ht="6.75" customHeight="1">
      <c r="A458" s="203"/>
      <c r="B458" s="13"/>
      <c r="C458" s="281"/>
      <c r="D458" s="281"/>
      <c r="E458" s="281"/>
      <c r="F458" s="281"/>
      <c r="G458" s="281"/>
      <c r="H458" s="281"/>
      <c r="I458" s="15"/>
      <c r="J458" s="13"/>
      <c r="K458" s="15"/>
      <c r="L458" s="16"/>
      <c r="M458" s="340"/>
      <c r="N458" s="53"/>
      <c r="O458" s="53"/>
      <c r="P458" s="53"/>
      <c r="Q458" s="49"/>
      <c r="R458" s="49"/>
      <c r="S458" s="42"/>
      <c r="T458" s="42"/>
      <c r="U458" s="42"/>
      <c r="V458" s="42"/>
      <c r="X458" s="35"/>
      <c r="Y458" s="35"/>
      <c r="Z458" s="35"/>
      <c r="AA458" s="35"/>
    </row>
    <row r="459" spans="1:27" s="42" customFormat="1" ht="15">
      <c r="A459" s="1065" t="s">
        <v>596</v>
      </c>
      <c r="B459" s="1066"/>
      <c r="C459" s="1066"/>
      <c r="D459" s="1066"/>
      <c r="E459" s="1066"/>
      <c r="F459" s="1066"/>
      <c r="G459" s="1066"/>
      <c r="H459" s="1066"/>
      <c r="I459" s="1066"/>
      <c r="J459" s="1066"/>
      <c r="K459" s="1066"/>
      <c r="L459" s="1066"/>
      <c r="M459" s="1067"/>
      <c r="N459" s="12"/>
      <c r="O459" s="12"/>
      <c r="P459" s="12"/>
      <c r="Q459" s="12"/>
      <c r="R459" s="12"/>
      <c r="X459" s="82"/>
      <c r="Y459" s="82"/>
      <c r="Z459" s="82"/>
      <c r="AA459" s="82"/>
    </row>
    <row r="460" spans="1:19" s="357" customFormat="1" ht="15.75">
      <c r="A460" s="615" t="s">
        <v>594</v>
      </c>
      <c r="B460" s="924" t="s">
        <v>614</v>
      </c>
      <c r="C460" s="410">
        <f aca="true" t="shared" si="219" ref="C460:M460">SUM(C461:C463)</f>
        <v>121193.23663813906</v>
      </c>
      <c r="D460" s="410">
        <f t="shared" si="219"/>
        <v>210819.59543035316</v>
      </c>
      <c r="E460" s="410">
        <f t="shared" si="219"/>
        <v>222540.2586896278</v>
      </c>
      <c r="F460" s="410">
        <f t="shared" si="219"/>
        <v>233141.69174118742</v>
      </c>
      <c r="G460" s="410">
        <f t="shared" si="219"/>
        <v>245255.56331683497</v>
      </c>
      <c r="H460" s="410">
        <f t="shared" si="219"/>
        <v>262921.4106757616</v>
      </c>
      <c r="I460" s="410">
        <f t="shared" si="219"/>
        <v>273745.14777546667</v>
      </c>
      <c r="J460" s="410">
        <f t="shared" si="219"/>
        <v>283972.27620748983</v>
      </c>
      <c r="K460" s="410">
        <f t="shared" si="219"/>
        <v>288739.5201285871</v>
      </c>
      <c r="L460" s="410">
        <f t="shared" si="219"/>
        <v>303035.88347042067</v>
      </c>
      <c r="M460" s="593">
        <f t="shared" si="219"/>
        <v>315923.23606753466</v>
      </c>
      <c r="N460" s="185"/>
      <c r="O460" s="185"/>
      <c r="P460" s="185"/>
      <c r="Q460" s="185"/>
      <c r="R460" s="185"/>
      <c r="S460" s="586"/>
    </row>
    <row r="461" spans="1:18" s="881" customFormat="1" ht="12.75">
      <c r="A461" s="975" t="str">
        <f>"m11="&amp;A407&amp;"/land"</f>
        <v>m11=J1/land</v>
      </c>
      <c r="B461" s="890" t="s">
        <v>613</v>
      </c>
      <c r="C461" s="935">
        <f>$K$407*10/$O453*C453</f>
        <v>41934.698897757095</v>
      </c>
      <c r="D461" s="935">
        <f aca="true" t="shared" si="220" ref="D461:M461">$Q$407*10/$O453*D453</f>
        <v>127461.62610015427</v>
      </c>
      <c r="E461" s="935">
        <f t="shared" si="220"/>
        <v>134547.94459417215</v>
      </c>
      <c r="F461" s="935">
        <f t="shared" si="220"/>
        <v>140957.57598059665</v>
      </c>
      <c r="G461" s="935">
        <f t="shared" si="220"/>
        <v>148281.62840678857</v>
      </c>
      <c r="H461" s="935">
        <f t="shared" si="220"/>
        <v>158962.40799091308</v>
      </c>
      <c r="I461" s="935">
        <f t="shared" si="220"/>
        <v>165506.44450892616</v>
      </c>
      <c r="J461" s="935">
        <f t="shared" si="220"/>
        <v>171689.77114713445</v>
      </c>
      <c r="K461" s="935">
        <f t="shared" si="220"/>
        <v>174572.04905379075</v>
      </c>
      <c r="L461" s="935">
        <f t="shared" si="220"/>
        <v>183215.6370236327</v>
      </c>
      <c r="M461" s="976">
        <f t="shared" si="220"/>
        <v>191007.33643753687</v>
      </c>
      <c r="N461" s="936"/>
      <c r="O461" s="936"/>
      <c r="P461" s="936"/>
      <c r="Q461" s="936"/>
      <c r="R461" s="936"/>
    </row>
    <row r="462" spans="1:18" s="881" customFormat="1" ht="12.75">
      <c r="A462" s="975" t="str">
        <f>"m12="&amp;A407&amp;"/fish."</f>
        <v>m12=J1/fish.</v>
      </c>
      <c r="B462" s="937" t="s">
        <v>679</v>
      </c>
      <c r="C462" s="935">
        <f aca="true" t="shared" si="221" ref="C462:M462">$N$407*10/$O453*C453</f>
        <v>1185.54298549466</v>
      </c>
      <c r="D462" s="935">
        <f t="shared" si="221"/>
        <v>1246.861961397826</v>
      </c>
      <c r="E462" s="935">
        <f t="shared" si="221"/>
        <v>1316.1821265869796</v>
      </c>
      <c r="F462" s="935">
        <f t="shared" si="221"/>
        <v>1378.8827668254353</v>
      </c>
      <c r="G462" s="935">
        <f t="shared" si="221"/>
        <v>1450.528505648244</v>
      </c>
      <c r="H462" s="935">
        <f t="shared" si="221"/>
        <v>1555.010601075577</v>
      </c>
      <c r="I462" s="935">
        <f t="shared" si="221"/>
        <v>1619.0260264075696</v>
      </c>
      <c r="J462" s="935">
        <f t="shared" si="221"/>
        <v>1679.5128961892385</v>
      </c>
      <c r="K462" s="935">
        <f t="shared" si="221"/>
        <v>1707.7080698579255</v>
      </c>
      <c r="L462" s="935">
        <f t="shared" si="221"/>
        <v>1792.261840112852</v>
      </c>
      <c r="M462" s="976">
        <f t="shared" si="221"/>
        <v>1868.4822204036939</v>
      </c>
      <c r="N462" s="936"/>
      <c r="O462" s="936"/>
      <c r="P462" s="936"/>
      <c r="Q462" s="936"/>
      <c r="R462" s="936"/>
    </row>
    <row r="463" spans="1:18" s="881" customFormat="1" ht="12.75">
      <c r="A463" s="975" t="str">
        <f>"m13="&amp;A407&amp;"/clim"</f>
        <v>m13=J1/clim</v>
      </c>
      <c r="B463" s="938" t="s">
        <v>616</v>
      </c>
      <c r="C463" s="935">
        <f aca="true" t="shared" si="222" ref="C463:M463">$P$407*10/$O453*C453</f>
        <v>78072.9947548873</v>
      </c>
      <c r="D463" s="935">
        <f t="shared" si="222"/>
        <v>82111.10736880107</v>
      </c>
      <c r="E463" s="935">
        <f t="shared" si="222"/>
        <v>86676.13196886868</v>
      </c>
      <c r="F463" s="935">
        <f t="shared" si="222"/>
        <v>90805.23299376531</v>
      </c>
      <c r="G463" s="935">
        <f t="shared" si="222"/>
        <v>95523.40640439815</v>
      </c>
      <c r="H463" s="935">
        <f t="shared" si="222"/>
        <v>102403.99208377294</v>
      </c>
      <c r="I463" s="935">
        <f t="shared" si="222"/>
        <v>106619.67724013292</v>
      </c>
      <c r="J463" s="935">
        <f t="shared" si="222"/>
        <v>110602.99216416615</v>
      </c>
      <c r="K463" s="935">
        <f t="shared" si="222"/>
        <v>112459.76300493839</v>
      </c>
      <c r="L463" s="935">
        <f t="shared" si="222"/>
        <v>118027.98460667512</v>
      </c>
      <c r="M463" s="976">
        <f t="shared" si="222"/>
        <v>123047.41740959411</v>
      </c>
      <c r="N463" s="936"/>
      <c r="O463" s="936"/>
      <c r="P463" s="936"/>
      <c r="Q463" s="936"/>
      <c r="R463" s="936"/>
    </row>
    <row r="464" spans="1:19" s="846" customFormat="1" ht="15.75">
      <c r="A464" s="919" t="str">
        <f>A434</f>
        <v>K8</v>
      </c>
      <c r="B464" s="925" t="str">
        <f>B434</f>
        <v>Ecosystem capital depreciation virtually embedded into imports (total)</v>
      </c>
      <c r="C464" s="926">
        <f>C434</f>
        <v>114684.1679667416</v>
      </c>
      <c r="D464" s="926">
        <f aca="true" t="shared" si="223" ref="D464:M464">D431</f>
        <v>76825.88758827145</v>
      </c>
      <c r="E464" s="926">
        <f t="shared" si="223"/>
        <v>73153.0210138428</v>
      </c>
      <c r="F464" s="926">
        <f t="shared" si="223"/>
        <v>76029.66717551977</v>
      </c>
      <c r="G464" s="926">
        <f t="shared" si="223"/>
        <v>81138.49511068781</v>
      </c>
      <c r="H464" s="926">
        <f t="shared" si="223"/>
        <v>81232.34016968888</v>
      </c>
      <c r="I464" s="926">
        <f t="shared" si="223"/>
        <v>94281.76579510448</v>
      </c>
      <c r="J464" s="926">
        <f t="shared" si="223"/>
        <v>101889.308454467</v>
      </c>
      <c r="K464" s="926">
        <f t="shared" si="223"/>
        <v>96616.18154894788</v>
      </c>
      <c r="L464" s="926">
        <f t="shared" si="223"/>
        <v>92636.98917832402</v>
      </c>
      <c r="M464" s="977">
        <f t="shared" si="223"/>
        <v>90684.40098041731</v>
      </c>
      <c r="N464" s="920"/>
      <c r="O464" s="920"/>
      <c r="P464" s="920"/>
      <c r="Q464" s="920"/>
      <c r="R464" s="920"/>
      <c r="S464" s="804"/>
    </row>
    <row r="465" spans="1:19" s="357" customFormat="1" ht="15.75">
      <c r="A465" s="615" t="s">
        <v>597</v>
      </c>
      <c r="B465" s="924" t="s">
        <v>603</v>
      </c>
      <c r="C465" s="410">
        <f aca="true" t="shared" si="224" ref="C465:M465">C460+C464</f>
        <v>235877.40460488066</v>
      </c>
      <c r="D465" s="410">
        <f t="shared" si="224"/>
        <v>287645.4830186246</v>
      </c>
      <c r="E465" s="410">
        <f t="shared" si="224"/>
        <v>295693.2797034706</v>
      </c>
      <c r="F465" s="410">
        <f t="shared" si="224"/>
        <v>309171.3589167072</v>
      </c>
      <c r="G465" s="410">
        <f t="shared" si="224"/>
        <v>326394.0584275228</v>
      </c>
      <c r="H465" s="410">
        <f t="shared" si="224"/>
        <v>344153.75084545044</v>
      </c>
      <c r="I465" s="410">
        <f t="shared" si="224"/>
        <v>368026.91357057117</v>
      </c>
      <c r="J465" s="410">
        <f t="shared" si="224"/>
        <v>385861.5846619568</v>
      </c>
      <c r="K465" s="410">
        <f t="shared" si="224"/>
        <v>385355.70167753496</v>
      </c>
      <c r="L465" s="410">
        <f t="shared" si="224"/>
        <v>395672.87264874467</v>
      </c>
      <c r="M465" s="593">
        <f t="shared" si="224"/>
        <v>406607.637047952</v>
      </c>
      <c r="N465" s="185"/>
      <c r="O465" s="185"/>
      <c r="P465" s="185"/>
      <c r="Q465" s="185"/>
      <c r="R465" s="185"/>
      <c r="S465" s="586"/>
    </row>
    <row r="466" spans="1:18" s="586" customFormat="1" ht="15.75">
      <c r="A466" s="917" t="s">
        <v>598</v>
      </c>
      <c r="B466" s="927" t="s">
        <v>878</v>
      </c>
      <c r="C466" s="928">
        <f aca="true" t="shared" si="225" ref="C466:M466">C460+C464-C436</f>
        <v>178535.32062150986</v>
      </c>
      <c r="D466" s="928">
        <f t="shared" si="225"/>
        <v>232709.0743121693</v>
      </c>
      <c r="E466" s="928">
        <f t="shared" si="225"/>
        <v>241795.40543861367</v>
      </c>
      <c r="F466" s="928">
        <f t="shared" si="225"/>
        <v>252997.933271115</v>
      </c>
      <c r="G466" s="928">
        <f t="shared" si="225"/>
        <v>266787.70589721494</v>
      </c>
      <c r="H466" s="928">
        <f t="shared" si="225"/>
        <v>283578.6255563691</v>
      </c>
      <c r="I466" s="928">
        <f t="shared" si="225"/>
        <v>299959.73282843485</v>
      </c>
      <c r="J466" s="928">
        <f t="shared" si="225"/>
        <v>312975.53492017207</v>
      </c>
      <c r="K466" s="928">
        <f t="shared" si="225"/>
        <v>314040.98717948946</v>
      </c>
      <c r="L466" s="928">
        <f t="shared" si="225"/>
        <v>325229.90154787386</v>
      </c>
      <c r="M466" s="978">
        <f t="shared" si="225"/>
        <v>335967.8641864513</v>
      </c>
      <c r="N466" s="185"/>
      <c r="O466" s="185"/>
      <c r="P466" s="185"/>
      <c r="Q466" s="185"/>
      <c r="R466" s="185"/>
    </row>
    <row r="467" spans="1:27" s="93" customFormat="1" ht="6.75" customHeight="1">
      <c r="A467" s="203"/>
      <c r="B467" s="13"/>
      <c r="C467" s="281"/>
      <c r="D467" s="281"/>
      <c r="E467" s="281"/>
      <c r="F467" s="281"/>
      <c r="G467" s="281"/>
      <c r="H467" s="281"/>
      <c r="I467" s="15"/>
      <c r="J467" s="13"/>
      <c r="K467" s="15"/>
      <c r="L467" s="16"/>
      <c r="M467" s="340"/>
      <c r="N467" s="53"/>
      <c r="O467" s="53"/>
      <c r="P467" s="53"/>
      <c r="Q467" s="49"/>
      <c r="R467" s="49"/>
      <c r="S467" s="42"/>
      <c r="T467" s="42"/>
      <c r="U467" s="42"/>
      <c r="V467" s="42"/>
      <c r="X467" s="35"/>
      <c r="Y467" s="35"/>
      <c r="Z467" s="35"/>
      <c r="AA467" s="35"/>
    </row>
    <row r="468" spans="1:27" s="42" customFormat="1" ht="15">
      <c r="A468" s="1065" t="s">
        <v>353</v>
      </c>
      <c r="B468" s="1066"/>
      <c r="C468" s="1066"/>
      <c r="D468" s="1066"/>
      <c r="E468" s="1066"/>
      <c r="F468" s="1066"/>
      <c r="G468" s="1066"/>
      <c r="H468" s="1066"/>
      <c r="I468" s="1066"/>
      <c r="J468" s="1066"/>
      <c r="K468" s="1066"/>
      <c r="L468" s="1066"/>
      <c r="M468" s="1067"/>
      <c r="N468" s="12"/>
      <c r="O468" s="12"/>
      <c r="P468" s="12"/>
      <c r="Q468" s="12"/>
      <c r="R468" s="12"/>
      <c r="X468" s="82"/>
      <c r="Y468" s="82"/>
      <c r="Z468" s="82"/>
      <c r="AA468" s="82"/>
    </row>
    <row r="469" spans="1:19" s="357" customFormat="1" ht="15.75">
      <c r="A469" s="615" t="s">
        <v>599</v>
      </c>
      <c r="B469" s="924" t="s">
        <v>600</v>
      </c>
      <c r="C469" s="410">
        <f aca="true" t="shared" si="226" ref="C469:M469">C453-C457</f>
        <v>6057260.717965861</v>
      </c>
      <c r="D469" s="410">
        <f t="shared" si="226"/>
        <v>6370556</v>
      </c>
      <c r="E469" s="410">
        <f t="shared" si="226"/>
        <v>6735028</v>
      </c>
      <c r="F469" s="410">
        <f t="shared" si="226"/>
        <v>7063611</v>
      </c>
      <c r="G469" s="410">
        <f t="shared" si="226"/>
        <v>7422755</v>
      </c>
      <c r="H469" s="410">
        <f t="shared" si="226"/>
        <v>7950166</v>
      </c>
      <c r="I469" s="410">
        <f t="shared" si="226"/>
        <v>8269086</v>
      </c>
      <c r="J469" s="410">
        <f t="shared" si="226"/>
        <v>8573548</v>
      </c>
      <c r="K469" s="410">
        <f t="shared" si="226"/>
        <v>8719670</v>
      </c>
      <c r="L469" s="410">
        <f t="shared" si="226"/>
        <v>9143450</v>
      </c>
      <c r="M469" s="593">
        <f t="shared" si="226"/>
        <v>9523647</v>
      </c>
      <c r="N469" s="185"/>
      <c r="O469" s="185"/>
      <c r="P469" s="185"/>
      <c r="Q469" s="185"/>
      <c r="R469" s="185"/>
      <c r="S469" s="586"/>
    </row>
    <row r="470" spans="1:18" s="66" customFormat="1" ht="15">
      <c r="A470" s="113" t="s">
        <v>602</v>
      </c>
      <c r="B470" s="109" t="s">
        <v>601</v>
      </c>
      <c r="C470" s="62">
        <f aca="true" t="shared" si="227" ref="C470:M470">C469/C453</f>
        <v>0.8628893651598394</v>
      </c>
      <c r="D470" s="62">
        <f t="shared" si="227"/>
        <v>0.8628893651598394</v>
      </c>
      <c r="E470" s="62">
        <f t="shared" si="227"/>
        <v>0.8642105652157399</v>
      </c>
      <c r="F470" s="62">
        <f t="shared" si="227"/>
        <v>0.865158312848382</v>
      </c>
      <c r="G470" s="62">
        <f t="shared" si="227"/>
        <v>0.8642412932354674</v>
      </c>
      <c r="H470" s="62">
        <f t="shared" si="227"/>
        <v>0.8634535858315764</v>
      </c>
      <c r="I470" s="62">
        <f t="shared" si="227"/>
        <v>0.8625808915440726</v>
      </c>
      <c r="J470" s="62">
        <f t="shared" si="227"/>
        <v>0.8621312658522009</v>
      </c>
      <c r="K470" s="62">
        <f t="shared" si="227"/>
        <v>0.8623480251878447</v>
      </c>
      <c r="L470" s="62">
        <f t="shared" si="227"/>
        <v>0.8615982157134852</v>
      </c>
      <c r="M470" s="921">
        <f t="shared" si="227"/>
        <v>0.8608162854689747</v>
      </c>
      <c r="N470" s="84"/>
      <c r="O470" s="84"/>
      <c r="P470" s="84"/>
      <c r="Q470" s="84"/>
      <c r="R470" s="84"/>
    </row>
    <row r="471" spans="1:19" s="357" customFormat="1" ht="15.75">
      <c r="A471" s="615" t="s">
        <v>604</v>
      </c>
      <c r="B471" s="924" t="s">
        <v>876</v>
      </c>
      <c r="C471" s="410">
        <f>C469-C465</f>
        <v>5821383.31336098</v>
      </c>
      <c r="D471" s="410">
        <f>D469-D465</f>
        <v>6082910.516981375</v>
      </c>
      <c r="E471" s="410">
        <f aca="true" t="shared" si="228" ref="E471:M471">E469-E465</f>
        <v>6439334.720296529</v>
      </c>
      <c r="F471" s="410">
        <f t="shared" si="228"/>
        <v>6754439.641083293</v>
      </c>
      <c r="G471" s="410">
        <f t="shared" si="228"/>
        <v>7096360.941572477</v>
      </c>
      <c r="H471" s="410">
        <f t="shared" si="228"/>
        <v>7606012.249154549</v>
      </c>
      <c r="I471" s="410">
        <f t="shared" si="228"/>
        <v>7901059.086429429</v>
      </c>
      <c r="J471" s="410">
        <f t="shared" si="228"/>
        <v>8187686.415338043</v>
      </c>
      <c r="K471" s="410">
        <f t="shared" si="228"/>
        <v>8334314.298322465</v>
      </c>
      <c r="L471" s="410">
        <f t="shared" si="228"/>
        <v>8747777.127351256</v>
      </c>
      <c r="M471" s="593">
        <f t="shared" si="228"/>
        <v>9117039.362952048</v>
      </c>
      <c r="N471" s="185"/>
      <c r="O471" s="185"/>
      <c r="P471" s="185"/>
      <c r="Q471" s="185"/>
      <c r="R471" s="185"/>
      <c r="S471" s="586"/>
    </row>
    <row r="472" spans="1:18" s="66" customFormat="1" ht="15">
      <c r="A472" s="113" t="s">
        <v>605</v>
      </c>
      <c r="B472" s="109" t="s">
        <v>615</v>
      </c>
      <c r="C472" s="62">
        <f aca="true" t="shared" si="229" ref="C472:M472">C471/C453</f>
        <v>0.8292873603276274</v>
      </c>
      <c r="D472" s="62">
        <f t="shared" si="229"/>
        <v>0.8239278948842408</v>
      </c>
      <c r="E472" s="62">
        <f t="shared" si="229"/>
        <v>0.8262684428692504</v>
      </c>
      <c r="F472" s="62">
        <f t="shared" si="229"/>
        <v>0.8272906880228614</v>
      </c>
      <c r="G472" s="62">
        <f t="shared" si="229"/>
        <v>0.8262387964320871</v>
      </c>
      <c r="H472" s="62">
        <f t="shared" si="229"/>
        <v>0.8260756505475972</v>
      </c>
      <c r="I472" s="62">
        <f t="shared" si="229"/>
        <v>0.8241905563583076</v>
      </c>
      <c r="J472" s="62">
        <f t="shared" si="229"/>
        <v>0.8233301374945654</v>
      </c>
      <c r="K472" s="62">
        <f t="shared" si="229"/>
        <v>0.8242375544548355</v>
      </c>
      <c r="L472" s="62">
        <f t="shared" si="229"/>
        <v>0.8243134882768626</v>
      </c>
      <c r="M472" s="921">
        <f t="shared" si="229"/>
        <v>0.8240641383380557</v>
      </c>
      <c r="N472" s="84"/>
      <c r="O472" s="84"/>
      <c r="P472" s="84"/>
      <c r="Q472" s="84"/>
      <c r="R472" s="84"/>
    </row>
    <row r="473" spans="1:19" s="357" customFormat="1" ht="15.75">
      <c r="A473" s="615" t="s">
        <v>606</v>
      </c>
      <c r="B473" s="924" t="s">
        <v>875</v>
      </c>
      <c r="C473" s="410">
        <f>C454+C466</f>
        <v>5681336.32062151</v>
      </c>
      <c r="D473" s="410">
        <f aca="true" t="shared" si="230" ref="D473:M473">D454+D466</f>
        <v>6047139.074312169</v>
      </c>
      <c r="E473" s="410">
        <f t="shared" si="230"/>
        <v>6344942.405438614</v>
      </c>
      <c r="F473" s="410">
        <f t="shared" si="230"/>
        <v>6624517.833271115</v>
      </c>
      <c r="G473" s="410">
        <f t="shared" si="230"/>
        <v>6997569.905897215</v>
      </c>
      <c r="H473" s="410">
        <f t="shared" si="230"/>
        <v>7515841.925556369</v>
      </c>
      <c r="I473" s="410">
        <f t="shared" si="230"/>
        <v>7854619.632828435</v>
      </c>
      <c r="J473" s="410">
        <f t="shared" si="230"/>
        <v>8167949.634920171</v>
      </c>
      <c r="K473" s="410">
        <f t="shared" si="230"/>
        <v>8327742.28717949</v>
      </c>
      <c r="L473" s="410">
        <f t="shared" si="230"/>
        <v>8700388.501547873</v>
      </c>
      <c r="M473" s="593">
        <f t="shared" si="230"/>
        <v>9095136.06418645</v>
      </c>
      <c r="N473" s="185"/>
      <c r="O473" s="185"/>
      <c r="P473" s="185"/>
      <c r="Q473" s="185"/>
      <c r="R473" s="185"/>
      <c r="S473" s="586"/>
    </row>
    <row r="474" spans="1:18" s="66" customFormat="1" ht="15">
      <c r="A474" s="113" t="s">
        <v>607</v>
      </c>
      <c r="B474" s="109" t="s">
        <v>29</v>
      </c>
      <c r="C474" s="62">
        <f aca="true" t="shared" si="231" ref="C474:M474">C473/C454</f>
        <v>1.032444444315088</v>
      </c>
      <c r="D474" s="62">
        <f t="shared" si="231"/>
        <v>1.0400226805227974</v>
      </c>
      <c r="E474" s="62">
        <f t="shared" si="231"/>
        <v>1.039618151985953</v>
      </c>
      <c r="F474" s="62">
        <f t="shared" si="231"/>
        <v>1.0397076266325582</v>
      </c>
      <c r="G474" s="62">
        <f t="shared" si="231"/>
        <v>1.039636954215695</v>
      </c>
      <c r="H474" s="62">
        <f t="shared" si="231"/>
        <v>1.0392102186816634</v>
      </c>
      <c r="I474" s="62">
        <f t="shared" si="231"/>
        <v>1.0397052596409315</v>
      </c>
      <c r="J474" s="62">
        <f t="shared" si="231"/>
        <v>1.0398442478531116</v>
      </c>
      <c r="K474" s="62">
        <f t="shared" si="231"/>
        <v>1.0391880075664275</v>
      </c>
      <c r="L474" s="62">
        <f t="shared" si="231"/>
        <v>1.0388326856936028</v>
      </c>
      <c r="M474" s="921">
        <f t="shared" si="231"/>
        <v>1.0383561379933828</v>
      </c>
      <c r="N474" s="84"/>
      <c r="O474" s="84"/>
      <c r="P474" s="84"/>
      <c r="Q474" s="84"/>
      <c r="R474" s="84"/>
    </row>
    <row r="475" spans="1:27" s="93" customFormat="1" ht="6.75" customHeight="1">
      <c r="A475" s="203"/>
      <c r="B475" s="13"/>
      <c r="C475" s="281"/>
      <c r="D475" s="281"/>
      <c r="E475" s="281"/>
      <c r="F475" s="281"/>
      <c r="G475" s="281"/>
      <c r="H475" s="281"/>
      <c r="I475" s="15"/>
      <c r="J475" s="13"/>
      <c r="K475" s="15"/>
      <c r="L475" s="16"/>
      <c r="M475" s="340"/>
      <c r="N475" s="53"/>
      <c r="O475" s="53"/>
      <c r="P475" s="53"/>
      <c r="Q475" s="49"/>
      <c r="R475" s="49"/>
      <c r="S475" s="42"/>
      <c r="T475" s="42"/>
      <c r="U475" s="42"/>
      <c r="V475" s="42"/>
      <c r="X475" s="35"/>
      <c r="Y475" s="35"/>
      <c r="Z475" s="35"/>
      <c r="AA475" s="35"/>
    </row>
    <row r="476" spans="1:19" s="32" customFormat="1" ht="15">
      <c r="A476" s="642" t="s">
        <v>489</v>
      </c>
      <c r="B476" s="929" t="s">
        <v>877</v>
      </c>
      <c r="C476" s="9">
        <f aca="true" t="shared" si="232" ref="C476:M476">C455+C464</f>
        <v>742370.518194357</v>
      </c>
      <c r="D476" s="9">
        <f t="shared" si="232"/>
        <v>718926.1098848716</v>
      </c>
      <c r="E476" s="9">
        <f t="shared" si="232"/>
        <v>747136.8931060047</v>
      </c>
      <c r="F476" s="9">
        <f t="shared" si="232"/>
        <v>779650.5456033644</v>
      </c>
      <c r="G476" s="9">
        <f t="shared" si="232"/>
        <v>824433.4951106878</v>
      </c>
      <c r="H476" s="9">
        <f t="shared" si="232"/>
        <v>1073927.340169689</v>
      </c>
      <c r="I476" s="9">
        <f t="shared" si="232"/>
        <v>1073424.7657951044</v>
      </c>
      <c r="J476" s="9">
        <f t="shared" si="232"/>
        <v>1038856.308454467</v>
      </c>
      <c r="K476" s="9">
        <f t="shared" si="232"/>
        <v>1031881.1815489479</v>
      </c>
      <c r="L476" s="9">
        <f t="shared" si="232"/>
        <v>1120158.9891783241</v>
      </c>
      <c r="M476" s="643">
        <f t="shared" si="232"/>
        <v>1270253.4009804174</v>
      </c>
      <c r="P476" s="83"/>
      <c r="Q476" s="83"/>
      <c r="R476" s="83"/>
      <c r="S476" s="83"/>
    </row>
    <row r="477" spans="1:27" s="93" customFormat="1" ht="15">
      <c r="A477" s="141" t="s">
        <v>490</v>
      </c>
      <c r="B477" s="930" t="s">
        <v>30</v>
      </c>
      <c r="C477" s="485">
        <f aca="true" t="shared" si="233" ref="C477:M477">C476/C455</f>
        <v>1.182709354640505</v>
      </c>
      <c r="D477" s="485">
        <f t="shared" si="233"/>
        <v>1.1196478134106358</v>
      </c>
      <c r="E477" s="485">
        <f t="shared" si="233"/>
        <v>1.108538236659526</v>
      </c>
      <c r="F477" s="485">
        <f t="shared" si="233"/>
        <v>1.1080548765769982</v>
      </c>
      <c r="G477" s="485">
        <f t="shared" si="233"/>
        <v>1.1091605555138777</v>
      </c>
      <c r="H477" s="485">
        <f t="shared" si="233"/>
        <v>1.081830109116787</v>
      </c>
      <c r="I477" s="485">
        <f t="shared" si="233"/>
        <v>1.0962900881639397</v>
      </c>
      <c r="J477" s="485">
        <f t="shared" si="233"/>
        <v>1.1087437534667357</v>
      </c>
      <c r="K477" s="485">
        <f t="shared" si="233"/>
        <v>1.1033035359485792</v>
      </c>
      <c r="L477" s="485">
        <f t="shared" si="233"/>
        <v>1.0901557233600099</v>
      </c>
      <c r="M477" s="486">
        <f t="shared" si="233"/>
        <v>1.0768792677498453</v>
      </c>
      <c r="P477" s="42"/>
      <c r="Q477" s="42"/>
      <c r="R477" s="42"/>
      <c r="S477" s="42"/>
      <c r="X477" s="35"/>
      <c r="Y477" s="35"/>
      <c r="Z477" s="35"/>
      <c r="AA477" s="35"/>
    </row>
    <row r="478" spans="1:21" s="32" customFormat="1" ht="15">
      <c r="A478" s="642" t="s">
        <v>491</v>
      </c>
      <c r="B478" s="931" t="s">
        <v>879</v>
      </c>
      <c r="C478" s="9">
        <f aca="true" t="shared" si="234" ref="C478:M478">C456+C436</f>
        <v>635638.0816195818</v>
      </c>
      <c r="D478" s="9">
        <f t="shared" si="234"/>
        <v>642108.7433837943</v>
      </c>
      <c r="E478" s="9">
        <f t="shared" si="234"/>
        <v>673714.4666824058</v>
      </c>
      <c r="F478" s="9">
        <f t="shared" si="234"/>
        <v>705517.0085836508</v>
      </c>
      <c r="G478" s="9">
        <f t="shared" si="234"/>
        <v>742689.3525303078</v>
      </c>
      <c r="H478" s="9">
        <f t="shared" si="234"/>
        <v>910315.1252890814</v>
      </c>
      <c r="I478" s="9">
        <f t="shared" si="234"/>
        <v>952774.1807421363</v>
      </c>
      <c r="J478" s="9">
        <f t="shared" si="234"/>
        <v>964785.0497417848</v>
      </c>
      <c r="K478" s="9">
        <f t="shared" si="234"/>
        <v>940551.7144980455</v>
      </c>
      <c r="L478" s="9">
        <f t="shared" si="234"/>
        <v>1023397.9711008708</v>
      </c>
      <c r="M478" s="643">
        <f t="shared" si="234"/>
        <v>1123359.7728615007</v>
      </c>
      <c r="R478" s="83"/>
      <c r="S478" s="83"/>
      <c r="T478" s="83"/>
      <c r="U478" s="83"/>
    </row>
    <row r="479" spans="1:13" ht="15.75" thickBot="1">
      <c r="A479" s="1012" t="s">
        <v>492</v>
      </c>
      <c r="B479" s="979" t="s">
        <v>352</v>
      </c>
      <c r="C479" s="492">
        <f aca="true" t="shared" si="235" ref="C479:M479">C478/C456</f>
        <v>1.0991569788097393</v>
      </c>
      <c r="D479" s="492">
        <f t="shared" si="235"/>
        <v>1.093560962364897</v>
      </c>
      <c r="E479" s="492">
        <f t="shared" si="235"/>
        <v>1.0869577790014175</v>
      </c>
      <c r="F479" s="492">
        <f t="shared" si="235"/>
        <v>1.0865080168982753</v>
      </c>
      <c r="G479" s="492">
        <f t="shared" si="235"/>
        <v>1.0872607758212514</v>
      </c>
      <c r="H479" s="492">
        <f t="shared" si="235"/>
        <v>1.071286658612142</v>
      </c>
      <c r="I479" s="492">
        <f t="shared" si="235"/>
        <v>1.0769375406119046</v>
      </c>
      <c r="J479" s="492">
        <f t="shared" si="235"/>
        <v>1.0817200711535553</v>
      </c>
      <c r="K479" s="492">
        <f t="shared" si="235"/>
        <v>1.0820428887611153</v>
      </c>
      <c r="L479" s="492">
        <f t="shared" si="235"/>
        <v>1.0739205640359417</v>
      </c>
      <c r="M479" s="493">
        <f t="shared" si="235"/>
        <v>1.067102147638024</v>
      </c>
    </row>
    <row r="480" ht="15.75" thickBot="1"/>
    <row r="481" spans="1:19" s="425" customFormat="1" ht="38.25" customHeight="1">
      <c r="A481" s="1068" t="s">
        <v>886</v>
      </c>
      <c r="B481" s="1086"/>
      <c r="C481" s="837" t="s">
        <v>13</v>
      </c>
      <c r="D481" s="423" t="s">
        <v>4</v>
      </c>
      <c r="E481" s="423" t="s">
        <v>5</v>
      </c>
      <c r="F481" s="423" t="s">
        <v>6</v>
      </c>
      <c r="G481" s="423" t="s">
        <v>7</v>
      </c>
      <c r="H481" s="423" t="s">
        <v>8</v>
      </c>
      <c r="I481" s="423" t="s">
        <v>9</v>
      </c>
      <c r="J481" s="423" t="s">
        <v>10</v>
      </c>
      <c r="K481" s="423" t="s">
        <v>11</v>
      </c>
      <c r="L481" s="423" t="s">
        <v>12</v>
      </c>
      <c r="M481" s="424" t="s">
        <v>369</v>
      </c>
      <c r="N481" s="427"/>
      <c r="O481" s="685"/>
      <c r="P481" s="427"/>
      <c r="Q481" s="427"/>
      <c r="R481" s="426"/>
      <c r="S481" s="427"/>
    </row>
    <row r="482" spans="1:18" s="689" customFormat="1" ht="18.75">
      <c r="A482" s="1080" t="s">
        <v>887</v>
      </c>
      <c r="B482" s="1081"/>
      <c r="C482" s="1081"/>
      <c r="D482" s="1081"/>
      <c r="E482" s="1081"/>
      <c r="F482" s="1081"/>
      <c r="G482" s="1081"/>
      <c r="H482" s="1081"/>
      <c r="I482" s="1081"/>
      <c r="J482" s="1081"/>
      <c r="K482" s="1081"/>
      <c r="L482" s="1081"/>
      <c r="M482" s="1082"/>
      <c r="N482" s="358"/>
      <c r="O482" s="358"/>
      <c r="P482" s="358"/>
      <c r="Q482" s="358"/>
      <c r="R482" s="358"/>
    </row>
    <row r="483" spans="1:19" s="169" customFormat="1" ht="15.75">
      <c r="A483" s="932" t="s">
        <v>610</v>
      </c>
      <c r="B483" s="933" t="s">
        <v>850</v>
      </c>
      <c r="C483" s="934" t="s">
        <v>611</v>
      </c>
      <c r="D483" s="934" t="s">
        <v>611</v>
      </c>
      <c r="E483" s="934" t="s">
        <v>611</v>
      </c>
      <c r="F483" s="934" t="s">
        <v>611</v>
      </c>
      <c r="G483" s="934" t="s">
        <v>611</v>
      </c>
      <c r="H483" s="934" t="s">
        <v>611</v>
      </c>
      <c r="I483" s="934" t="s">
        <v>611</v>
      </c>
      <c r="J483" s="934" t="s">
        <v>611</v>
      </c>
      <c r="K483" s="934" t="s">
        <v>611</v>
      </c>
      <c r="L483" s="934" t="s">
        <v>611</v>
      </c>
      <c r="M483" s="964" t="s">
        <v>611</v>
      </c>
      <c r="N483" s="665"/>
      <c r="O483" s="665"/>
      <c r="P483" s="665"/>
      <c r="Q483" s="98"/>
      <c r="R483" s="168"/>
      <c r="S483" s="586"/>
    </row>
    <row r="484" spans="1:21" s="123" customFormat="1" ht="15">
      <c r="A484" s="490" t="s">
        <v>845</v>
      </c>
      <c r="B484" s="1007" t="s">
        <v>889</v>
      </c>
      <c r="C484" s="487">
        <v>2000000</v>
      </c>
      <c r="D484" s="487">
        <f>C484*1.02</f>
        <v>2040000</v>
      </c>
      <c r="E484" s="487">
        <f aca="true" t="shared" si="236" ref="E484:M484">D484*1.02</f>
        <v>2080800</v>
      </c>
      <c r="F484" s="487">
        <f t="shared" si="236"/>
        <v>2122416</v>
      </c>
      <c r="G484" s="487">
        <f t="shared" si="236"/>
        <v>2164864.32</v>
      </c>
      <c r="H484" s="487">
        <f t="shared" si="236"/>
        <v>2208161.6064</v>
      </c>
      <c r="I484" s="487">
        <f t="shared" si="236"/>
        <v>2252324.838528</v>
      </c>
      <c r="J484" s="487">
        <f t="shared" si="236"/>
        <v>2297371.3352985596</v>
      </c>
      <c r="K484" s="487">
        <f t="shared" si="236"/>
        <v>2343318.762004531</v>
      </c>
      <c r="L484" s="487">
        <f t="shared" si="236"/>
        <v>2390185.1372446218</v>
      </c>
      <c r="M484" s="491">
        <f t="shared" si="236"/>
        <v>2437988.839989514</v>
      </c>
      <c r="R484" s="124"/>
      <c r="S484" s="124"/>
      <c r="T484" s="124"/>
      <c r="U484" s="124"/>
    </row>
    <row r="485" spans="1:21" s="123" customFormat="1" ht="15">
      <c r="A485" s="490" t="s">
        <v>846</v>
      </c>
      <c r="B485" s="1007" t="s">
        <v>890</v>
      </c>
      <c r="C485" s="487"/>
      <c r="D485" s="487"/>
      <c r="E485" s="487"/>
      <c r="F485" s="487"/>
      <c r="G485" s="487"/>
      <c r="H485" s="487"/>
      <c r="I485" s="487"/>
      <c r="J485" s="487"/>
      <c r="K485" s="487"/>
      <c r="L485" s="487"/>
      <c r="M485" s="491"/>
      <c r="R485" s="124"/>
      <c r="S485" s="124"/>
      <c r="T485" s="124"/>
      <c r="U485" s="124"/>
    </row>
    <row r="486" spans="1:19" s="123" customFormat="1" ht="15">
      <c r="A486" s="1010" t="s">
        <v>882</v>
      </c>
      <c r="B486" s="122" t="s">
        <v>851</v>
      </c>
      <c r="C486" s="1008" t="s">
        <v>611</v>
      </c>
      <c r="D486" s="1008" t="s">
        <v>611</v>
      </c>
      <c r="E486" s="1008" t="s">
        <v>611</v>
      </c>
      <c r="F486" s="1008" t="s">
        <v>611</v>
      </c>
      <c r="G486" s="1008" t="s">
        <v>611</v>
      </c>
      <c r="H486" s="1008" t="s">
        <v>611</v>
      </c>
      <c r="I486" s="1008" t="s">
        <v>611</v>
      </c>
      <c r="J486" s="1008" t="s">
        <v>611</v>
      </c>
      <c r="K486" s="1008" t="s">
        <v>611</v>
      </c>
      <c r="L486" s="1008" t="s">
        <v>611</v>
      </c>
      <c r="M486" s="1011" t="s">
        <v>611</v>
      </c>
      <c r="N486" s="1009"/>
      <c r="O486" s="1009"/>
      <c r="P486" s="1009"/>
      <c r="Q486" s="1009"/>
      <c r="R486" s="124"/>
      <c r="S486" s="66"/>
    </row>
    <row r="487" spans="1:19" s="169" customFormat="1" ht="15.75">
      <c r="A487" s="615" t="s">
        <v>612</v>
      </c>
      <c r="B487" s="574" t="s">
        <v>563</v>
      </c>
      <c r="C487" s="365">
        <f>C488-C492</f>
        <v>-81019.57961476251</v>
      </c>
      <c r="D487" s="365">
        <f aca="true" t="shared" si="237" ref="D487:M487">D488-D492</f>
        <v>-8966.297945930128</v>
      </c>
      <c r="E487" s="365">
        <f t="shared" si="237"/>
        <v>-79188.58818963359</v>
      </c>
      <c r="F487" s="365">
        <f t="shared" si="237"/>
        <v>-150704.027701489</v>
      </c>
      <c r="G487" s="365">
        <f t="shared" si="237"/>
        <v>-224354.93779847302</v>
      </c>
      <c r="H487" s="365">
        <f t="shared" si="237"/>
        <v>-25767.978890308063</v>
      </c>
      <c r="I487" s="365">
        <f t="shared" si="237"/>
        <v>452125.19857584103</v>
      </c>
      <c r="J487" s="365">
        <f t="shared" si="237"/>
        <v>-255021.24813238357</v>
      </c>
      <c r="K487" s="365">
        <f t="shared" si="237"/>
        <v>466081.8542978268</v>
      </c>
      <c r="L487" s="365">
        <f t="shared" si="237"/>
        <v>-264003.8629090407</v>
      </c>
      <c r="M487" s="408">
        <f t="shared" si="237"/>
        <v>-308116.8319552587</v>
      </c>
      <c r="N487" s="665"/>
      <c r="O487" s="665"/>
      <c r="P487" s="665"/>
      <c r="Q487" s="98"/>
      <c r="R487" s="168"/>
      <c r="S487" s="586"/>
    </row>
    <row r="488" spans="1:18" s="66" customFormat="1" ht="15">
      <c r="A488" s="941" t="s">
        <v>621</v>
      </c>
      <c r="B488" s="943" t="s">
        <v>852</v>
      </c>
      <c r="C488" s="944">
        <f>C527</f>
        <v>40173.65702337656</v>
      </c>
      <c r="D488" s="944">
        <f aca="true" t="shared" si="238" ref="D488:M488">D527</f>
        <v>201853.29748442303</v>
      </c>
      <c r="E488" s="944">
        <f t="shared" si="238"/>
        <v>143351.67049999422</v>
      </c>
      <c r="F488" s="944">
        <f t="shared" si="238"/>
        <v>82437.66403969843</v>
      </c>
      <c r="G488" s="944">
        <f t="shared" si="238"/>
        <v>20900.62551836194</v>
      </c>
      <c r="H488" s="944">
        <f t="shared" si="238"/>
        <v>237153.43178545352</v>
      </c>
      <c r="I488" s="944">
        <f t="shared" si="238"/>
        <v>725870.3463513077</v>
      </c>
      <c r="J488" s="944">
        <f t="shared" si="238"/>
        <v>28951.028075106267</v>
      </c>
      <c r="K488" s="944">
        <f t="shared" si="238"/>
        <v>754821.3744264139</v>
      </c>
      <c r="L488" s="944">
        <f t="shared" si="238"/>
        <v>39032.02056137995</v>
      </c>
      <c r="M488" s="965">
        <f t="shared" si="238"/>
        <v>7806.40411227599</v>
      </c>
      <c r="N488" s="84"/>
      <c r="O488" s="84"/>
      <c r="P488" s="84"/>
      <c r="Q488" s="84"/>
      <c r="R488" s="84"/>
    </row>
    <row r="489" spans="1:18" s="66" customFormat="1" ht="15">
      <c r="A489" s="113" t="s">
        <v>647</v>
      </c>
      <c r="B489" s="109" t="str">
        <f>B528</f>
        <v>Effect of Ecosystem restoration programmes, in 10^6 € - Inland ecosystems</v>
      </c>
      <c r="C489" s="945">
        <f aca="true" t="shared" si="239" ref="C489:M489">C528</f>
        <v>13900.694936691716</v>
      </c>
      <c r="D489" s="945">
        <f t="shared" si="239"/>
        <v>122040.5981641421</v>
      </c>
      <c r="E489" s="945">
        <f t="shared" si="239"/>
        <v>86670.48709966385</v>
      </c>
      <c r="F489" s="945">
        <f t="shared" si="239"/>
        <v>49841.85027463209</v>
      </c>
      <c r="G489" s="945">
        <f t="shared" si="239"/>
        <v>12636.527973799697</v>
      </c>
      <c r="H489" s="945">
        <f t="shared" si="239"/>
        <v>143383.0758896039</v>
      </c>
      <c r="I489" s="945">
        <f t="shared" si="239"/>
        <v>438861.55124695314</v>
      </c>
      <c r="J489" s="945">
        <f t="shared" si="239"/>
        <v>17503.80512869995</v>
      </c>
      <c r="K489" s="945">
        <f t="shared" si="239"/>
        <v>456365.356375653</v>
      </c>
      <c r="L489" s="945">
        <f t="shared" si="239"/>
        <v>23598.77790568916</v>
      </c>
      <c r="M489" s="966">
        <f t="shared" si="239"/>
        <v>4719.7555811378315</v>
      </c>
      <c r="N489" s="84"/>
      <c r="O489" s="84"/>
      <c r="P489" s="84"/>
      <c r="Q489" s="84"/>
      <c r="R489" s="84"/>
    </row>
    <row r="490" spans="1:18" s="66" customFormat="1" ht="15">
      <c r="A490" s="113" t="s">
        <v>648</v>
      </c>
      <c r="B490" s="109" t="str">
        <f>B529</f>
        <v>Effect of Ecosystem restoration programmes, in 10^6 € - Fisheries</v>
      </c>
      <c r="C490" s="945">
        <f aca="true" t="shared" si="240" ref="C490:M490">C529</f>
        <v>392.98890438861446</v>
      </c>
      <c r="D490" s="945">
        <f t="shared" si="240"/>
        <v>1193.832090903491</v>
      </c>
      <c r="E490" s="945">
        <f t="shared" si="240"/>
        <v>847.8326916642174</v>
      </c>
      <c r="F490" s="945">
        <f t="shared" si="240"/>
        <v>487.565623431579</v>
      </c>
      <c r="G490" s="945">
        <f t="shared" si="240"/>
        <v>123.61372231584384</v>
      </c>
      <c r="H490" s="945">
        <f t="shared" si="240"/>
        <v>1402.6096222441688</v>
      </c>
      <c r="I490" s="945">
        <f t="shared" si="240"/>
        <v>4293.055026144894</v>
      </c>
      <c r="J490" s="945">
        <f t="shared" si="240"/>
        <v>171.22666219201585</v>
      </c>
      <c r="K490" s="945">
        <f t="shared" si="240"/>
        <v>4464.28168833691</v>
      </c>
      <c r="L490" s="945">
        <f t="shared" si="240"/>
        <v>230.84923208934057</v>
      </c>
      <c r="M490" s="966">
        <f t="shared" si="240"/>
        <v>46.169846417868115</v>
      </c>
      <c r="N490" s="84"/>
      <c r="O490" s="84"/>
      <c r="P490" s="84"/>
      <c r="Q490" s="84"/>
      <c r="R490" s="84"/>
    </row>
    <row r="491" spans="1:18" s="66" customFormat="1" ht="15">
      <c r="A491" s="113" t="s">
        <v>649</v>
      </c>
      <c r="B491" s="109" t="str">
        <f>B530</f>
        <v>Effect of Ecosystem restoration programmes, in 10^6 € - Atmosphere/climate</v>
      </c>
      <c r="C491" s="945">
        <f aca="true" t="shared" si="241" ref="C491:M491">C530</f>
        <v>25879.97318229623</v>
      </c>
      <c r="D491" s="945">
        <f t="shared" si="241"/>
        <v>78618.86722937744</v>
      </c>
      <c r="E491" s="945">
        <f t="shared" si="241"/>
        <v>55833.35070866614</v>
      </c>
      <c r="F491" s="945">
        <f t="shared" si="241"/>
        <v>32108.24814163476</v>
      </c>
      <c r="G491" s="945">
        <f t="shared" si="241"/>
        <v>8140.483822246399</v>
      </c>
      <c r="H491" s="945">
        <f t="shared" si="241"/>
        <v>92367.74627360547</v>
      </c>
      <c r="I491" s="945">
        <f t="shared" si="241"/>
        <v>282715.7400782096</v>
      </c>
      <c r="J491" s="945">
        <f t="shared" si="241"/>
        <v>11275.996284214301</v>
      </c>
      <c r="K491" s="945">
        <f t="shared" si="241"/>
        <v>293991.7363624239</v>
      </c>
      <c r="L491" s="945">
        <f t="shared" si="241"/>
        <v>15202.393423601452</v>
      </c>
      <c r="M491" s="966">
        <f t="shared" si="241"/>
        <v>3040.478684720291</v>
      </c>
      <c r="N491" s="84"/>
      <c r="O491" s="84"/>
      <c r="P491" s="84"/>
      <c r="Q491" s="84"/>
      <c r="R491" s="84"/>
    </row>
    <row r="492" spans="1:18" s="66" customFormat="1" ht="15">
      <c r="A492" s="941" t="s">
        <v>622</v>
      </c>
      <c r="B492" s="943" t="str">
        <f>"(-)"&amp;B518</f>
        <v>(-)Territorial Consumption of Ecosystem Capital (TCEC) (n71=M1=J1)</v>
      </c>
      <c r="C492" s="944">
        <f>C518</f>
        <v>121193.23663813906</v>
      </c>
      <c r="D492" s="944">
        <f aca="true" t="shared" si="242" ref="D492:M492">D518</f>
        <v>210819.59543035316</v>
      </c>
      <c r="E492" s="944">
        <f t="shared" si="242"/>
        <v>222540.2586896278</v>
      </c>
      <c r="F492" s="944">
        <f t="shared" si="242"/>
        <v>233141.69174118742</v>
      </c>
      <c r="G492" s="944">
        <f t="shared" si="242"/>
        <v>245255.56331683497</v>
      </c>
      <c r="H492" s="944">
        <f t="shared" si="242"/>
        <v>262921.4106757616</v>
      </c>
      <c r="I492" s="944">
        <f t="shared" si="242"/>
        <v>273745.14777546667</v>
      </c>
      <c r="J492" s="944">
        <f t="shared" si="242"/>
        <v>283972.27620748983</v>
      </c>
      <c r="K492" s="944">
        <f t="shared" si="242"/>
        <v>288739.5201285871</v>
      </c>
      <c r="L492" s="944">
        <f t="shared" si="242"/>
        <v>303035.88347042067</v>
      </c>
      <c r="M492" s="965">
        <f t="shared" si="242"/>
        <v>315923.23606753466</v>
      </c>
      <c r="N492" s="84"/>
      <c r="O492" s="84"/>
      <c r="P492" s="84"/>
      <c r="Q492" s="84"/>
      <c r="R492" s="84"/>
    </row>
    <row r="493" spans="1:18" s="918" customFormat="1" ht="15">
      <c r="A493" s="113" t="s">
        <v>650</v>
      </c>
      <c r="B493" s="109" t="str">
        <f>B519</f>
        <v>Territorial Consumption of Ecosystem Capital, in 10^6 € - Inland ecosystems</v>
      </c>
      <c r="C493" s="945">
        <f>C519</f>
        <v>41934.698897757095</v>
      </c>
      <c r="D493" s="945">
        <f aca="true" t="shared" si="243" ref="D493:M493">D519</f>
        <v>127461.62610015427</v>
      </c>
      <c r="E493" s="945">
        <f t="shared" si="243"/>
        <v>134547.94459417215</v>
      </c>
      <c r="F493" s="945">
        <f t="shared" si="243"/>
        <v>140957.57598059665</v>
      </c>
      <c r="G493" s="945">
        <f t="shared" si="243"/>
        <v>148281.62840678857</v>
      </c>
      <c r="H493" s="945">
        <f t="shared" si="243"/>
        <v>158962.40799091308</v>
      </c>
      <c r="I493" s="945">
        <f t="shared" si="243"/>
        <v>165506.44450892616</v>
      </c>
      <c r="J493" s="945">
        <f t="shared" si="243"/>
        <v>171689.77114713445</v>
      </c>
      <c r="K493" s="945">
        <f t="shared" si="243"/>
        <v>174572.04905379075</v>
      </c>
      <c r="L493" s="945">
        <f t="shared" si="243"/>
        <v>183215.6370236327</v>
      </c>
      <c r="M493" s="966">
        <f t="shared" si="243"/>
        <v>191007.33643753687</v>
      </c>
      <c r="N493" s="942"/>
      <c r="O493" s="942"/>
      <c r="P493" s="942"/>
      <c r="Q493" s="942"/>
      <c r="R493" s="942"/>
    </row>
    <row r="494" spans="1:27" s="42" customFormat="1" ht="15">
      <c r="A494" s="113" t="s">
        <v>651</v>
      </c>
      <c r="B494" s="109" t="str">
        <f>B520</f>
        <v>Territorial Consumption of Ecosystem Capital, in 10^6 € - Sea/ fisheries</v>
      </c>
      <c r="C494" s="945">
        <f aca="true" t="shared" si="244" ref="C494:M494">C520</f>
        <v>1185.54298549466</v>
      </c>
      <c r="D494" s="945">
        <f t="shared" si="244"/>
        <v>1246.861961397826</v>
      </c>
      <c r="E494" s="945">
        <f t="shared" si="244"/>
        <v>1316.1821265869796</v>
      </c>
      <c r="F494" s="945">
        <f t="shared" si="244"/>
        <v>1378.8827668254353</v>
      </c>
      <c r="G494" s="945">
        <f t="shared" si="244"/>
        <v>1450.528505648244</v>
      </c>
      <c r="H494" s="945">
        <f t="shared" si="244"/>
        <v>1555.010601075577</v>
      </c>
      <c r="I494" s="945">
        <f t="shared" si="244"/>
        <v>1619.0260264075696</v>
      </c>
      <c r="J494" s="945">
        <f t="shared" si="244"/>
        <v>1679.5128961892385</v>
      </c>
      <c r="K494" s="945">
        <f t="shared" si="244"/>
        <v>1707.7080698579255</v>
      </c>
      <c r="L494" s="945">
        <f t="shared" si="244"/>
        <v>1792.261840112852</v>
      </c>
      <c r="M494" s="966">
        <f t="shared" si="244"/>
        <v>1868.4822204036939</v>
      </c>
      <c r="N494" s="12"/>
      <c r="O494" s="12"/>
      <c r="P494" s="12"/>
      <c r="Q494" s="12"/>
      <c r="R494" s="12"/>
      <c r="X494" s="82"/>
      <c r="Y494" s="82"/>
      <c r="Z494" s="82"/>
      <c r="AA494" s="82"/>
    </row>
    <row r="495" spans="1:27" s="42" customFormat="1" ht="15">
      <c r="A495" s="113" t="s">
        <v>652</v>
      </c>
      <c r="B495" s="109" t="str">
        <f>B521</f>
        <v>Territorial Consumption of Ecosystem Capital, 10^6 € - Atmosphere/climate</v>
      </c>
      <c r="C495" s="945">
        <f aca="true" t="shared" si="245" ref="C495:M495">C521</f>
        <v>78072.9947548873</v>
      </c>
      <c r="D495" s="945">
        <f t="shared" si="245"/>
        <v>82111.10736880107</v>
      </c>
      <c r="E495" s="945">
        <f t="shared" si="245"/>
        <v>86676.13196886868</v>
      </c>
      <c r="F495" s="945">
        <f t="shared" si="245"/>
        <v>90805.23299376531</v>
      </c>
      <c r="G495" s="945">
        <f t="shared" si="245"/>
        <v>95523.40640439815</v>
      </c>
      <c r="H495" s="945">
        <f t="shared" si="245"/>
        <v>102403.99208377294</v>
      </c>
      <c r="I495" s="945">
        <f t="shared" si="245"/>
        <v>106619.67724013292</v>
      </c>
      <c r="J495" s="945">
        <f t="shared" si="245"/>
        <v>110602.99216416615</v>
      </c>
      <c r="K495" s="945">
        <f t="shared" si="245"/>
        <v>112459.76300493839</v>
      </c>
      <c r="L495" s="945">
        <f t="shared" si="245"/>
        <v>118027.98460667512</v>
      </c>
      <c r="M495" s="966">
        <f t="shared" si="245"/>
        <v>123047.41740959411</v>
      </c>
      <c r="N495" s="12"/>
      <c r="O495" s="12"/>
      <c r="P495" s="12"/>
      <c r="Q495" s="12"/>
      <c r="R495" s="12"/>
      <c r="X495" s="82"/>
      <c r="Y495" s="82"/>
      <c r="Z495" s="82"/>
      <c r="AA495" s="82"/>
    </row>
    <row r="496" spans="1:19" s="169" customFormat="1" ht="15.75">
      <c r="A496" s="615" t="s">
        <v>619</v>
      </c>
      <c r="B496" s="574" t="s">
        <v>645</v>
      </c>
      <c r="C496" s="365">
        <f>C497-C498</f>
        <v>63608.29028701288</v>
      </c>
      <c r="D496" s="365">
        <f aca="true" t="shared" si="246" ref="D496:M496">D497-D498</f>
        <v>358850.3066389742</v>
      </c>
      <c r="E496" s="365">
        <f t="shared" si="246"/>
        <v>254847.41422221193</v>
      </c>
      <c r="F496" s="365">
        <f t="shared" si="246"/>
        <v>175867.0166180233</v>
      </c>
      <c r="G496" s="365">
        <f t="shared" si="246"/>
        <v>37156.667588199</v>
      </c>
      <c r="H496" s="365">
        <f t="shared" si="246"/>
        <v>421606.10095191724</v>
      </c>
      <c r="I496" s="365">
        <f t="shared" si="246"/>
        <v>1311935.7963063386</v>
      </c>
      <c r="J496" s="365">
        <f t="shared" si="246"/>
        <v>51468.494355744464</v>
      </c>
      <c r="K496" s="365">
        <f t="shared" si="246"/>
        <v>1363404.2906620828</v>
      </c>
      <c r="L496" s="365">
        <f t="shared" si="246"/>
        <v>69390.25877578658</v>
      </c>
      <c r="M496" s="408">
        <f t="shared" si="246"/>
        <v>13878.051755157314</v>
      </c>
      <c r="N496" s="665"/>
      <c r="O496" s="665"/>
      <c r="P496" s="665"/>
      <c r="Q496" s="98"/>
      <c r="R496" s="168"/>
      <c r="S496" s="586"/>
    </row>
    <row r="497" spans="1:21" s="123" customFormat="1" ht="15">
      <c r="A497" s="490" t="s">
        <v>623</v>
      </c>
      <c r="B497" s="882" t="str">
        <f>"(+) "&amp;B531</f>
        <v>(+) (-) Ecosystem spontaneous natural improvement, in 10^6 € (n31= f72 in EPUE*Unit price)</v>
      </c>
      <c r="C497" s="487">
        <f aca="true" t="shared" si="247" ref="C497:M497">C531</f>
        <v>93738.5330545453</v>
      </c>
      <c r="D497" s="487">
        <f t="shared" si="247"/>
        <v>470991.02746365365</v>
      </c>
      <c r="E497" s="487">
        <f t="shared" si="247"/>
        <v>334487.23116665316</v>
      </c>
      <c r="F497" s="487">
        <f t="shared" si="247"/>
        <v>192354.549425963</v>
      </c>
      <c r="G497" s="487">
        <f t="shared" si="247"/>
        <v>48768.12620951119</v>
      </c>
      <c r="H497" s="487">
        <f t="shared" si="247"/>
        <v>553358.0074993914</v>
      </c>
      <c r="I497" s="487">
        <f t="shared" si="247"/>
        <v>1693697.474819718</v>
      </c>
      <c r="J497" s="487">
        <f t="shared" si="247"/>
        <v>67552.39884191462</v>
      </c>
      <c r="K497" s="487">
        <f t="shared" si="247"/>
        <v>1761249.8736616322</v>
      </c>
      <c r="L497" s="487">
        <f t="shared" si="247"/>
        <v>91074.7146432199</v>
      </c>
      <c r="M497" s="491">
        <f t="shared" si="247"/>
        <v>18214.942928643977</v>
      </c>
      <c r="R497" s="124"/>
      <c r="S497" s="124"/>
      <c r="T497" s="124"/>
      <c r="U497" s="124"/>
    </row>
    <row r="498" spans="1:21" s="123" customFormat="1" ht="15">
      <c r="A498" s="490" t="s">
        <v>623</v>
      </c>
      <c r="B498" s="875" t="s">
        <v>864</v>
      </c>
      <c r="C498" s="487">
        <f aca="true" t="shared" si="248" ref="C498:M498">C278*111</f>
        <v>30130.24276753242</v>
      </c>
      <c r="D498" s="487">
        <f t="shared" si="248"/>
        <v>112140.72082467948</v>
      </c>
      <c r="E498" s="487">
        <f t="shared" si="248"/>
        <v>79639.81694444125</v>
      </c>
      <c r="F498" s="487">
        <f t="shared" si="248"/>
        <v>16487.532807939686</v>
      </c>
      <c r="G498" s="487">
        <f t="shared" si="248"/>
        <v>11611.45862131219</v>
      </c>
      <c r="H498" s="487">
        <f t="shared" si="248"/>
        <v>131751.90654747418</v>
      </c>
      <c r="I498" s="487">
        <f t="shared" si="248"/>
        <v>381761.6785133792</v>
      </c>
      <c r="J498" s="487">
        <f t="shared" si="248"/>
        <v>16083.904486170151</v>
      </c>
      <c r="K498" s="487">
        <f t="shared" si="248"/>
        <v>397845.58299954934</v>
      </c>
      <c r="L498" s="487">
        <f t="shared" si="248"/>
        <v>21684.45586743331</v>
      </c>
      <c r="M498" s="491">
        <f t="shared" si="248"/>
        <v>4336.891173486662</v>
      </c>
      <c r="N498" s="488"/>
      <c r="O498" s="488"/>
      <c r="P498" s="488"/>
      <c r="Q498" s="488"/>
      <c r="R498" s="124"/>
      <c r="S498" s="124"/>
      <c r="T498" s="124"/>
      <c r="U498" s="124"/>
    </row>
    <row r="499" spans="1:19" s="169" customFormat="1" ht="15.75">
      <c r="A499" s="295" t="s">
        <v>620</v>
      </c>
      <c r="B499" s="574" t="s">
        <v>853</v>
      </c>
      <c r="C499" s="904">
        <f aca="true" t="shared" si="249" ref="C499:M499">C527+C531-C518-C498</f>
        <v>-17411.28932774961</v>
      </c>
      <c r="D499" s="904">
        <f t="shared" si="249"/>
        <v>349884.00869304396</v>
      </c>
      <c r="E499" s="904">
        <f t="shared" si="249"/>
        <v>175658.82603257836</v>
      </c>
      <c r="F499" s="904">
        <f t="shared" si="249"/>
        <v>25162.98891653429</v>
      </c>
      <c r="G499" s="904">
        <f t="shared" si="249"/>
        <v>-187198.27021027406</v>
      </c>
      <c r="H499" s="904">
        <f t="shared" si="249"/>
        <v>395838.1220616093</v>
      </c>
      <c r="I499" s="904">
        <f t="shared" si="249"/>
        <v>1764060.99488218</v>
      </c>
      <c r="J499" s="904">
        <f t="shared" si="249"/>
        <v>-203552.75377663912</v>
      </c>
      <c r="K499" s="904">
        <f t="shared" si="249"/>
        <v>1829486.1449599094</v>
      </c>
      <c r="L499" s="904">
        <f t="shared" si="249"/>
        <v>-194613.60413325412</v>
      </c>
      <c r="M499" s="967">
        <f t="shared" si="249"/>
        <v>-294238.7802001014</v>
      </c>
      <c r="N499" s="665"/>
      <c r="O499" s="665"/>
      <c r="P499" s="665"/>
      <c r="Q499" s="98"/>
      <c r="R499" s="168"/>
      <c r="S499" s="586"/>
    </row>
    <row r="500" spans="1:17" s="66" customFormat="1" ht="15">
      <c r="A500" s="113" t="s">
        <v>637</v>
      </c>
      <c r="B500" s="896" t="s">
        <v>493</v>
      </c>
      <c r="C500" s="940">
        <f>C499*0.3</f>
        <v>-5223.386798324883</v>
      </c>
      <c r="D500" s="940">
        <f aca="true" t="shared" si="250" ref="D500:M500">D499*0.3</f>
        <v>104965.20260791319</v>
      </c>
      <c r="E500" s="940">
        <f t="shared" si="250"/>
        <v>52697.64780977351</v>
      </c>
      <c r="F500" s="940">
        <f t="shared" si="250"/>
        <v>7548.896674960287</v>
      </c>
      <c r="G500" s="940">
        <f t="shared" si="250"/>
        <v>-56159.48106308222</v>
      </c>
      <c r="H500" s="940">
        <f t="shared" si="250"/>
        <v>118751.43661848278</v>
      </c>
      <c r="I500" s="940">
        <f t="shared" si="250"/>
        <v>529218.2984646539</v>
      </c>
      <c r="J500" s="940">
        <f t="shared" si="250"/>
        <v>-61065.82613299173</v>
      </c>
      <c r="K500" s="940">
        <f t="shared" si="250"/>
        <v>548845.8434879727</v>
      </c>
      <c r="L500" s="940">
        <f t="shared" si="250"/>
        <v>-58384.081239976236</v>
      </c>
      <c r="M500" s="968">
        <f t="shared" si="250"/>
        <v>-88271.63406003041</v>
      </c>
      <c r="N500" s="84"/>
      <c r="O500" s="84"/>
      <c r="P500" s="84"/>
      <c r="Q500" s="84"/>
    </row>
    <row r="501" spans="1:17" s="66" customFormat="1" ht="15">
      <c r="A501" s="113" t="s">
        <v>638</v>
      </c>
      <c r="B501" s="896" t="s">
        <v>494</v>
      </c>
      <c r="C501" s="940">
        <f>C499*0.15</f>
        <v>-2611.6933991624414</v>
      </c>
      <c r="D501" s="940">
        <f aca="true" t="shared" si="251" ref="D501:M501">D499*0.15</f>
        <v>52482.601303956595</v>
      </c>
      <c r="E501" s="940">
        <f t="shared" si="251"/>
        <v>26348.823904886754</v>
      </c>
      <c r="F501" s="940">
        <f t="shared" si="251"/>
        <v>3774.4483374801434</v>
      </c>
      <c r="G501" s="940">
        <f t="shared" si="251"/>
        <v>-28079.74053154111</v>
      </c>
      <c r="H501" s="940">
        <f t="shared" si="251"/>
        <v>59375.71830924139</v>
      </c>
      <c r="I501" s="940">
        <f t="shared" si="251"/>
        <v>264609.14923232695</v>
      </c>
      <c r="J501" s="940">
        <f t="shared" si="251"/>
        <v>-30532.913066495865</v>
      </c>
      <c r="K501" s="940">
        <f t="shared" si="251"/>
        <v>274422.9217439864</v>
      </c>
      <c r="L501" s="940">
        <f t="shared" si="251"/>
        <v>-29192.040619988118</v>
      </c>
      <c r="M501" s="968">
        <f t="shared" si="251"/>
        <v>-44135.817030015205</v>
      </c>
      <c r="N501" s="84"/>
      <c r="O501" s="84"/>
      <c r="P501" s="84"/>
      <c r="Q501" s="84"/>
    </row>
    <row r="502" spans="1:17" s="66" customFormat="1" ht="15">
      <c r="A502" s="113" t="s">
        <v>639</v>
      </c>
      <c r="B502" s="896" t="s">
        <v>0</v>
      </c>
      <c r="C502" s="940">
        <f>C499-C500-C501-C503</f>
        <v>-870.5644663874828</v>
      </c>
      <c r="D502" s="940">
        <f aca="true" t="shared" si="252" ref="D502:M502">D499-D500-D501-D503</f>
        <v>17494.200434652215</v>
      </c>
      <c r="E502" s="940">
        <f t="shared" si="252"/>
        <v>8782.941301628918</v>
      </c>
      <c r="F502" s="940">
        <f t="shared" si="252"/>
        <v>1258.1494458267134</v>
      </c>
      <c r="G502" s="940">
        <f t="shared" si="252"/>
        <v>-9359.91351051371</v>
      </c>
      <c r="H502" s="940">
        <f t="shared" si="252"/>
        <v>19791.90610308043</v>
      </c>
      <c r="I502" s="940">
        <f t="shared" si="252"/>
        <v>88203.04974410892</v>
      </c>
      <c r="J502" s="940">
        <f t="shared" si="252"/>
        <v>-10177.637688831965</v>
      </c>
      <c r="K502" s="940">
        <f t="shared" si="252"/>
        <v>91474.3072479954</v>
      </c>
      <c r="L502" s="940">
        <f t="shared" si="252"/>
        <v>-9730.680206662699</v>
      </c>
      <c r="M502" s="968">
        <f t="shared" si="252"/>
        <v>-14711.939010005095</v>
      </c>
      <c r="N502" s="84"/>
      <c r="O502" s="84"/>
      <c r="P502" s="84"/>
      <c r="Q502" s="84"/>
    </row>
    <row r="503" spans="1:17" s="66" customFormat="1" ht="15">
      <c r="A503" s="113" t="s">
        <v>640</v>
      </c>
      <c r="B503" s="896" t="s">
        <v>2</v>
      </c>
      <c r="C503" s="940">
        <f>C499/2</f>
        <v>-8705.644663874806</v>
      </c>
      <c r="D503" s="940">
        <f aca="true" t="shared" si="253" ref="D503:M503">D499/2</f>
        <v>174942.00434652198</v>
      </c>
      <c r="E503" s="940">
        <f t="shared" si="253"/>
        <v>87829.41301628918</v>
      </c>
      <c r="F503" s="940">
        <f t="shared" si="253"/>
        <v>12581.494458267145</v>
      </c>
      <c r="G503" s="940">
        <f t="shared" si="253"/>
        <v>-93599.13510513703</v>
      </c>
      <c r="H503" s="940">
        <f t="shared" si="253"/>
        <v>197919.06103080465</v>
      </c>
      <c r="I503" s="940">
        <f t="shared" si="253"/>
        <v>882030.49744109</v>
      </c>
      <c r="J503" s="940">
        <f t="shared" si="253"/>
        <v>-101776.37688831956</v>
      </c>
      <c r="K503" s="940">
        <f t="shared" si="253"/>
        <v>914743.0724799547</v>
      </c>
      <c r="L503" s="940">
        <f t="shared" si="253"/>
        <v>-97306.80206662706</v>
      </c>
      <c r="M503" s="968">
        <f t="shared" si="253"/>
        <v>-147119.3901000507</v>
      </c>
      <c r="N503" s="84"/>
      <c r="O503" s="84"/>
      <c r="P503" s="84"/>
      <c r="Q503" s="84"/>
    </row>
    <row r="504" spans="1:19" s="169" customFormat="1" ht="15.75">
      <c r="A504" s="295"/>
      <c r="B504" s="574" t="s">
        <v>880</v>
      </c>
      <c r="C504" s="904"/>
      <c r="D504" s="904"/>
      <c r="E504" s="904"/>
      <c r="F504" s="904"/>
      <c r="G504" s="904"/>
      <c r="H504" s="904"/>
      <c r="I504" s="904"/>
      <c r="J504" s="904"/>
      <c r="K504" s="904"/>
      <c r="L504" s="904"/>
      <c r="M504" s="967"/>
      <c r="N504" s="665"/>
      <c r="O504" s="665"/>
      <c r="P504" s="665"/>
      <c r="Q504" s="98"/>
      <c r="R504" s="168"/>
      <c r="S504" s="586"/>
    </row>
    <row r="505" spans="1:19" s="169" customFormat="1" ht="15.75">
      <c r="A505" s="932" t="s">
        <v>624</v>
      </c>
      <c r="B505" s="933" t="s">
        <v>636</v>
      </c>
      <c r="C505" s="934" t="s">
        <v>611</v>
      </c>
      <c r="D505" s="934" t="s">
        <v>611</v>
      </c>
      <c r="E505" s="934" t="s">
        <v>611</v>
      </c>
      <c r="F505" s="934" t="s">
        <v>611</v>
      </c>
      <c r="G505" s="934" t="s">
        <v>611</v>
      </c>
      <c r="H505" s="934" t="s">
        <v>611</v>
      </c>
      <c r="I505" s="934" t="s">
        <v>611</v>
      </c>
      <c r="J505" s="934" t="s">
        <v>611</v>
      </c>
      <c r="K505" s="934" t="s">
        <v>611</v>
      </c>
      <c r="L505" s="934" t="s">
        <v>611</v>
      </c>
      <c r="M505" s="964" t="s">
        <v>611</v>
      </c>
      <c r="N505" s="665"/>
      <c r="O505" s="665"/>
      <c r="P505" s="665"/>
      <c r="Q505" s="98"/>
      <c r="R505" s="168"/>
      <c r="S505" s="586"/>
    </row>
    <row r="506" spans="1:21" s="123" customFormat="1" ht="15">
      <c r="A506" s="490" t="s">
        <v>848</v>
      </c>
      <c r="B506" s="1007" t="s">
        <v>889</v>
      </c>
      <c r="C506" s="487">
        <f>D484</f>
        <v>2040000</v>
      </c>
      <c r="D506" s="487">
        <f aca="true" t="shared" si="254" ref="D506:L506">E484</f>
        <v>2080800</v>
      </c>
      <c r="E506" s="487">
        <f t="shared" si="254"/>
        <v>2122416</v>
      </c>
      <c r="F506" s="487">
        <f t="shared" si="254"/>
        <v>2164864.32</v>
      </c>
      <c r="G506" s="487">
        <f t="shared" si="254"/>
        <v>2208161.6064</v>
      </c>
      <c r="H506" s="487">
        <f t="shared" si="254"/>
        <v>2252324.838528</v>
      </c>
      <c r="I506" s="487">
        <f t="shared" si="254"/>
        <v>2297371.3352985596</v>
      </c>
      <c r="J506" s="487">
        <f t="shared" si="254"/>
        <v>2343318.762004531</v>
      </c>
      <c r="K506" s="487">
        <f t="shared" si="254"/>
        <v>2390185.1372446218</v>
      </c>
      <c r="L506" s="487">
        <f t="shared" si="254"/>
        <v>2437988.839989514</v>
      </c>
      <c r="M506" s="491">
        <f>L506*1.02</f>
        <v>2486748.616789304</v>
      </c>
      <c r="R506" s="124"/>
      <c r="S506" s="124"/>
      <c r="T506" s="124"/>
      <c r="U506" s="124"/>
    </row>
    <row r="507" spans="1:21" s="123" customFormat="1" ht="15">
      <c r="A507" s="490" t="s">
        <v>849</v>
      </c>
      <c r="B507" s="1007" t="s">
        <v>890</v>
      </c>
      <c r="C507" s="487"/>
      <c r="D507" s="487"/>
      <c r="E507" s="487"/>
      <c r="F507" s="487"/>
      <c r="G507" s="487"/>
      <c r="H507" s="487"/>
      <c r="I507" s="487"/>
      <c r="J507" s="487"/>
      <c r="K507" s="487"/>
      <c r="L507" s="487"/>
      <c r="M507" s="491"/>
      <c r="R507" s="124"/>
      <c r="S507" s="124"/>
      <c r="T507" s="124"/>
      <c r="U507" s="124"/>
    </row>
    <row r="508" spans="1:19" s="123" customFormat="1" ht="15.75" thickBot="1">
      <c r="A508" s="1010" t="s">
        <v>881</v>
      </c>
      <c r="B508" s="122" t="s">
        <v>847</v>
      </c>
      <c r="C508" s="1008" t="s">
        <v>611</v>
      </c>
      <c r="D508" s="1008" t="s">
        <v>611</v>
      </c>
      <c r="E508" s="1008" t="s">
        <v>611</v>
      </c>
      <c r="F508" s="1008" t="s">
        <v>611</v>
      </c>
      <c r="G508" s="1008" t="s">
        <v>611</v>
      </c>
      <c r="H508" s="1008" t="s">
        <v>611</v>
      </c>
      <c r="I508" s="1008" t="s">
        <v>611</v>
      </c>
      <c r="J508" s="1008" t="s">
        <v>611</v>
      </c>
      <c r="K508" s="1008" t="s">
        <v>611</v>
      </c>
      <c r="L508" s="1008" t="s">
        <v>611</v>
      </c>
      <c r="M508" s="1011" t="s">
        <v>611</v>
      </c>
      <c r="N508" s="1009"/>
      <c r="O508" s="1009"/>
      <c r="P508" s="1009"/>
      <c r="Q508" s="1009"/>
      <c r="R508" s="124"/>
      <c r="S508" s="66"/>
    </row>
    <row r="509" spans="1:18" s="689" customFormat="1" ht="18.75">
      <c r="A509" s="1050" t="s">
        <v>888</v>
      </c>
      <c r="B509" s="1051"/>
      <c r="C509" s="1051"/>
      <c r="D509" s="1051"/>
      <c r="E509" s="1051"/>
      <c r="F509" s="1051"/>
      <c r="G509" s="1051"/>
      <c r="H509" s="1051"/>
      <c r="I509" s="1051"/>
      <c r="J509" s="1051"/>
      <c r="K509" s="1051"/>
      <c r="L509" s="1051"/>
      <c r="M509" s="1052"/>
      <c r="N509" s="358"/>
      <c r="O509" s="358"/>
      <c r="P509" s="358"/>
      <c r="Q509" s="358"/>
      <c r="R509" s="358"/>
    </row>
    <row r="510" spans="1:19" s="169" customFormat="1" ht="15.75">
      <c r="A510" s="615" t="s">
        <v>625</v>
      </c>
      <c r="B510" s="600" t="s">
        <v>644</v>
      </c>
      <c r="C510" s="916">
        <f>C511</f>
        <v>335220000</v>
      </c>
      <c r="D510" s="692">
        <f>C535</f>
        <v>335320855.21452695</v>
      </c>
      <c r="E510" s="692">
        <f aca="true" t="shared" si="255" ref="E510:M510">D535</f>
        <v>323376407.3196204</v>
      </c>
      <c r="F510" s="692">
        <f t="shared" si="255"/>
        <v>313255983.44237125</v>
      </c>
      <c r="G510" s="692">
        <f t="shared" si="255"/>
        <v>300321399.4141361</v>
      </c>
      <c r="H510" s="692">
        <f t="shared" si="255"/>
        <v>286688366.77565247</v>
      </c>
      <c r="I510" s="692">
        <f t="shared" si="255"/>
        <v>270196950.7116289</v>
      </c>
      <c r="J510" s="692">
        <f t="shared" si="255"/>
        <v>256609423.46113718</v>
      </c>
      <c r="K510" s="692">
        <f t="shared" si="255"/>
        <v>1097461693.3646703</v>
      </c>
      <c r="L510" s="692">
        <f t="shared" si="255"/>
        <v>1090514616.9870386</v>
      </c>
      <c r="M510" s="693">
        <f t="shared" si="255"/>
        <v>1086024165.915637</v>
      </c>
      <c r="N510" s="665"/>
      <c r="O510" s="665"/>
      <c r="P510" s="665"/>
      <c r="Q510" s="98"/>
      <c r="R510" s="168"/>
      <c r="S510" s="586"/>
    </row>
    <row r="511" spans="1:19" s="169" customFormat="1" ht="15.75">
      <c r="A511" s="615" t="s">
        <v>661</v>
      </c>
      <c r="B511" s="600" t="s">
        <v>676</v>
      </c>
      <c r="C511" s="692">
        <f>SUM(C512:C516)</f>
        <v>335220000</v>
      </c>
      <c r="D511" s="692">
        <f aca="true" t="shared" si="256" ref="D511:M511">SUM(D512:D516)</f>
        <v>323628037.0171982</v>
      </c>
      <c r="E511" s="692">
        <f t="shared" si="256"/>
        <v>313655449.0343964</v>
      </c>
      <c r="F511" s="692">
        <f t="shared" si="256"/>
        <v>300650501.67659456</v>
      </c>
      <c r="G511" s="692">
        <f t="shared" si="256"/>
        <v>286723779.5214613</v>
      </c>
      <c r="H511" s="692">
        <f t="shared" si="256"/>
        <v>270639136.2354687</v>
      </c>
      <c r="I511" s="692">
        <f t="shared" si="256"/>
        <v>259061630.29688823</v>
      </c>
      <c r="J511" s="692">
        <f t="shared" si="256"/>
        <v>1099581769.2516472</v>
      </c>
      <c r="K511" s="692">
        <f t="shared" si="256"/>
        <v>1094719728.1729789</v>
      </c>
      <c r="L511" s="692">
        <f t="shared" si="256"/>
        <v>1089915795.0111098</v>
      </c>
      <c r="M511" s="693">
        <f t="shared" si="256"/>
        <v>1085168517.0681195</v>
      </c>
      <c r="N511" s="665"/>
      <c r="O511" s="665"/>
      <c r="P511" s="665"/>
      <c r="Q511" s="98"/>
      <c r="R511" s="168"/>
      <c r="S511" s="586"/>
    </row>
    <row r="512" spans="1:17" s="93" customFormat="1" ht="15">
      <c r="A512" s="125" t="s">
        <v>673</v>
      </c>
      <c r="B512" s="36" t="s">
        <v>627</v>
      </c>
      <c r="C512" s="691">
        <f aca="true" t="shared" si="257" ref="C512:M512">C369*111</f>
        <v>111000000</v>
      </c>
      <c r="D512" s="691">
        <f t="shared" si="257"/>
        <v>102355918.64431195</v>
      </c>
      <c r="E512" s="691">
        <f t="shared" si="257"/>
        <v>93711837.2886239</v>
      </c>
      <c r="F512" s="691">
        <f t="shared" si="257"/>
        <v>85067755.93293583</v>
      </c>
      <c r="G512" s="691">
        <f t="shared" si="257"/>
        <v>76423674.57724778</v>
      </c>
      <c r="H512" s="691">
        <f t="shared" si="257"/>
        <v>67779593.22155973</v>
      </c>
      <c r="I512" s="691">
        <f t="shared" si="257"/>
        <v>59135511.86587168</v>
      </c>
      <c r="J512" s="691">
        <f t="shared" si="257"/>
        <v>888000000</v>
      </c>
      <c r="K512" s="691">
        <f t="shared" si="257"/>
        <v>888000000</v>
      </c>
      <c r="L512" s="691">
        <f t="shared" si="257"/>
        <v>888000000</v>
      </c>
      <c r="M512" s="699">
        <f t="shared" si="257"/>
        <v>888000000</v>
      </c>
      <c r="N512" s="12"/>
      <c r="O512" s="12"/>
      <c r="P512" s="12"/>
      <c r="Q512" s="12"/>
    </row>
    <row r="513" spans="1:13" s="93" customFormat="1" ht="15">
      <c r="A513" s="125" t="s">
        <v>674</v>
      </c>
      <c r="B513" s="36" t="s">
        <v>628</v>
      </c>
      <c r="C513" s="691">
        <f aca="true" t="shared" si="258" ref="C513:M513">C370*111</f>
        <v>111000000</v>
      </c>
      <c r="D513" s="691">
        <f t="shared" si="258"/>
        <v>111000000</v>
      </c>
      <c r="E513" s="691">
        <f t="shared" si="258"/>
        <v>111000000</v>
      </c>
      <c r="F513" s="691">
        <f t="shared" si="258"/>
        <v>111000000</v>
      </c>
      <c r="G513" s="691">
        <f t="shared" si="258"/>
        <v>108462275.59329358</v>
      </c>
      <c r="H513" s="691">
        <f t="shared" si="258"/>
        <v>105924551.18658715</v>
      </c>
      <c r="I513" s="691">
        <f t="shared" si="258"/>
        <v>103386826.77988073</v>
      </c>
      <c r="J513" s="691">
        <f t="shared" si="258"/>
        <v>100849102.37317431</v>
      </c>
      <c r="K513" s="691">
        <f t="shared" si="258"/>
        <v>98311377.9664679</v>
      </c>
      <c r="L513" s="691">
        <f t="shared" si="258"/>
        <v>95773653.55976148</v>
      </c>
      <c r="M513" s="699">
        <f t="shared" si="258"/>
        <v>93235929.15305506</v>
      </c>
    </row>
    <row r="514" spans="1:13" s="93" customFormat="1" ht="15">
      <c r="A514" s="125" t="s">
        <v>675</v>
      </c>
      <c r="B514" s="36" t="s">
        <v>629</v>
      </c>
      <c r="C514" s="691">
        <f aca="true" t="shared" si="259" ref="C514:M514">C371*111</f>
        <v>111000000</v>
      </c>
      <c r="D514" s="691">
        <f t="shared" si="259"/>
        <v>108225000</v>
      </c>
      <c r="E514" s="691">
        <f t="shared" si="259"/>
        <v>105519375</v>
      </c>
      <c r="F514" s="691">
        <f t="shared" si="259"/>
        <v>102881390.625</v>
      </c>
      <c r="G514" s="691">
        <f t="shared" si="259"/>
        <v>100309355.859375</v>
      </c>
      <c r="H514" s="691">
        <f t="shared" si="259"/>
        <v>97801621.96289062</v>
      </c>
      <c r="I514" s="691">
        <f t="shared" si="259"/>
        <v>95356581.41381836</v>
      </c>
      <c r="J514" s="691">
        <f t="shared" si="259"/>
        <v>92972666.8784729</v>
      </c>
      <c r="K514" s="691">
        <f t="shared" si="259"/>
        <v>90648350.20651108</v>
      </c>
      <c r="L514" s="691">
        <f t="shared" si="259"/>
        <v>88382141.45134829</v>
      </c>
      <c r="M514" s="699">
        <f t="shared" si="259"/>
        <v>86172587.91506457</v>
      </c>
    </row>
    <row r="515" spans="1:13" s="123" customFormat="1" ht="15">
      <c r="A515" s="490" t="s">
        <v>662</v>
      </c>
      <c r="B515" s="875" t="s">
        <v>576</v>
      </c>
      <c r="C515" s="910">
        <v>0</v>
      </c>
      <c r="D515" s="910">
        <v>0</v>
      </c>
      <c r="E515" s="910">
        <v>1550000</v>
      </c>
      <c r="F515" s="910">
        <v>0</v>
      </c>
      <c r="G515" s="910">
        <v>0</v>
      </c>
      <c r="H515" s="910">
        <v>-2222222</v>
      </c>
      <c r="I515" s="910">
        <v>0</v>
      </c>
      <c r="J515" s="910">
        <v>0</v>
      </c>
      <c r="K515" s="910">
        <v>0</v>
      </c>
      <c r="L515" s="910">
        <v>0</v>
      </c>
      <c r="M515" s="911">
        <v>0</v>
      </c>
    </row>
    <row r="516" spans="1:13" s="123" customFormat="1" ht="15">
      <c r="A516" s="490" t="s">
        <v>663</v>
      </c>
      <c r="B516" s="875" t="s">
        <v>630</v>
      </c>
      <c r="C516" s="910">
        <f>C512*0.02</f>
        <v>2220000</v>
      </c>
      <c r="D516" s="910">
        <f aca="true" t="shared" si="260" ref="D516:M516">D512*0.02</f>
        <v>2047118.372886239</v>
      </c>
      <c r="E516" s="910">
        <f t="shared" si="260"/>
        <v>1874236.745772478</v>
      </c>
      <c r="F516" s="910">
        <f t="shared" si="260"/>
        <v>1701355.1186587168</v>
      </c>
      <c r="G516" s="910">
        <f t="shared" si="260"/>
        <v>1528473.4915449556</v>
      </c>
      <c r="H516" s="910">
        <f t="shared" si="260"/>
        <v>1355591.8644311947</v>
      </c>
      <c r="I516" s="910">
        <f t="shared" si="260"/>
        <v>1182710.2373174336</v>
      </c>
      <c r="J516" s="910">
        <f t="shared" si="260"/>
        <v>17760000</v>
      </c>
      <c r="K516" s="910">
        <f t="shared" si="260"/>
        <v>17760000</v>
      </c>
      <c r="L516" s="910">
        <f t="shared" si="260"/>
        <v>17760000</v>
      </c>
      <c r="M516" s="911">
        <f t="shared" si="260"/>
        <v>17760000</v>
      </c>
    </row>
    <row r="517" spans="1:19" s="169" customFormat="1" ht="15.75">
      <c r="A517" s="615" t="s">
        <v>626</v>
      </c>
      <c r="B517" s="600" t="s">
        <v>660</v>
      </c>
      <c r="C517" s="692">
        <f>C518+C522</f>
        <v>235877.40460488066</v>
      </c>
      <c r="D517" s="692">
        <f aca="true" t="shared" si="261" ref="D517:M517">D518+D522</f>
        <v>320692.4128432637</v>
      </c>
      <c r="E517" s="692">
        <f t="shared" si="261"/>
        <v>330336.0072193417</v>
      </c>
      <c r="F517" s="692">
        <f t="shared" si="261"/>
        <v>345488.5430323718</v>
      </c>
      <c r="G517" s="692">
        <f t="shared" si="261"/>
        <v>364468.26837745064</v>
      </c>
      <c r="H517" s="692">
        <f t="shared" si="261"/>
        <v>384071.6612539243</v>
      </c>
      <c r="I517" s="692">
        <f t="shared" si="261"/>
        <v>409879.5092597393</v>
      </c>
      <c r="J517" s="692">
        <f t="shared" si="261"/>
        <v>429744.3756910594</v>
      </c>
      <c r="K517" s="692">
        <f t="shared" si="261"/>
        <v>431368.94912467815</v>
      </c>
      <c r="L517" s="692">
        <f t="shared" si="261"/>
        <v>443921.8256721623</v>
      </c>
      <c r="M517" s="693">
        <f t="shared" si="261"/>
        <v>457202.781790536</v>
      </c>
      <c r="N517" s="665"/>
      <c r="O517" s="665"/>
      <c r="P517" s="665"/>
      <c r="Q517" s="98"/>
      <c r="R517" s="168"/>
      <c r="S517" s="586"/>
    </row>
    <row r="518" spans="1:21" s="123" customFormat="1" ht="15">
      <c r="A518" s="941" t="s">
        <v>631</v>
      </c>
      <c r="B518" s="875" t="s">
        <v>703</v>
      </c>
      <c r="C518" s="487">
        <f>SUM(C519:C521)</f>
        <v>121193.23663813906</v>
      </c>
      <c r="D518" s="487">
        <f aca="true" t="shared" si="262" ref="D518:M518">SUM(D519:D521)</f>
        <v>210819.59543035316</v>
      </c>
      <c r="E518" s="487">
        <f t="shared" si="262"/>
        <v>222540.2586896278</v>
      </c>
      <c r="F518" s="487">
        <f t="shared" si="262"/>
        <v>233141.69174118742</v>
      </c>
      <c r="G518" s="487">
        <f t="shared" si="262"/>
        <v>245255.56331683497</v>
      </c>
      <c r="H518" s="487">
        <f t="shared" si="262"/>
        <v>262921.4106757616</v>
      </c>
      <c r="I518" s="487">
        <f t="shared" si="262"/>
        <v>273745.14777546667</v>
      </c>
      <c r="J518" s="487">
        <f t="shared" si="262"/>
        <v>283972.27620748983</v>
      </c>
      <c r="K518" s="487">
        <f t="shared" si="262"/>
        <v>288739.5201285871</v>
      </c>
      <c r="L518" s="487">
        <f t="shared" si="262"/>
        <v>303035.88347042067</v>
      </c>
      <c r="M518" s="491">
        <f t="shared" si="262"/>
        <v>315923.23606753466</v>
      </c>
      <c r="N518" s="488"/>
      <c r="O518" s="488"/>
      <c r="P518" s="488"/>
      <c r="Q518" s="488"/>
      <c r="R518" s="124"/>
      <c r="S518" s="124"/>
      <c r="T518" s="124"/>
      <c r="U518" s="124"/>
    </row>
    <row r="519" spans="1:21" s="41" customFormat="1" ht="15">
      <c r="A519" s="142" t="s">
        <v>641</v>
      </c>
      <c r="B519" s="60" t="str">
        <f aca="true" t="shared" si="263" ref="B519:M519">B461</f>
        <v>Territorial Consumption of Ecosystem Capital, in 10^6 € - Inland ecosystems</v>
      </c>
      <c r="C519" s="909">
        <f t="shared" si="263"/>
        <v>41934.698897757095</v>
      </c>
      <c r="D519" s="909">
        <f t="shared" si="263"/>
        <v>127461.62610015427</v>
      </c>
      <c r="E519" s="909">
        <f t="shared" si="263"/>
        <v>134547.94459417215</v>
      </c>
      <c r="F519" s="909">
        <f t="shared" si="263"/>
        <v>140957.57598059665</v>
      </c>
      <c r="G519" s="909">
        <f t="shared" si="263"/>
        <v>148281.62840678857</v>
      </c>
      <c r="H519" s="909">
        <f t="shared" si="263"/>
        <v>158962.40799091308</v>
      </c>
      <c r="I519" s="909">
        <f t="shared" si="263"/>
        <v>165506.44450892616</v>
      </c>
      <c r="J519" s="909">
        <f t="shared" si="263"/>
        <v>171689.77114713445</v>
      </c>
      <c r="K519" s="909">
        <f t="shared" si="263"/>
        <v>174572.04905379075</v>
      </c>
      <c r="L519" s="909">
        <f t="shared" si="263"/>
        <v>183215.6370236327</v>
      </c>
      <c r="M519" s="912">
        <f t="shared" si="263"/>
        <v>191007.33643753687</v>
      </c>
      <c r="N519" s="84"/>
      <c r="O519" s="84"/>
      <c r="P519" s="84"/>
      <c r="Q519" s="84"/>
      <c r="R519" s="66"/>
      <c r="S519" s="66"/>
      <c r="T519" s="66"/>
      <c r="U519" s="66"/>
    </row>
    <row r="520" spans="1:21" s="41" customFormat="1" ht="15">
      <c r="A520" s="142" t="s">
        <v>642</v>
      </c>
      <c r="B520" s="60" t="str">
        <f aca="true" t="shared" si="264" ref="B520:M520">B462</f>
        <v>Territorial Consumption of Ecosystem Capital, in 10^6 € - Sea/ fisheries</v>
      </c>
      <c r="C520" s="909">
        <f t="shared" si="264"/>
        <v>1185.54298549466</v>
      </c>
      <c r="D520" s="909">
        <f t="shared" si="264"/>
        <v>1246.861961397826</v>
      </c>
      <c r="E520" s="909">
        <f t="shared" si="264"/>
        <v>1316.1821265869796</v>
      </c>
      <c r="F520" s="909">
        <f t="shared" si="264"/>
        <v>1378.8827668254353</v>
      </c>
      <c r="G520" s="909">
        <f t="shared" si="264"/>
        <v>1450.528505648244</v>
      </c>
      <c r="H520" s="909">
        <f t="shared" si="264"/>
        <v>1555.010601075577</v>
      </c>
      <c r="I520" s="909">
        <f t="shared" si="264"/>
        <v>1619.0260264075696</v>
      </c>
      <c r="J520" s="909">
        <f t="shared" si="264"/>
        <v>1679.5128961892385</v>
      </c>
      <c r="K520" s="909">
        <f t="shared" si="264"/>
        <v>1707.7080698579255</v>
      </c>
      <c r="L520" s="909">
        <f t="shared" si="264"/>
        <v>1792.261840112852</v>
      </c>
      <c r="M520" s="912">
        <f t="shared" si="264"/>
        <v>1868.4822204036939</v>
      </c>
      <c r="N520" s="84"/>
      <c r="O520" s="84"/>
      <c r="P520" s="84"/>
      <c r="Q520" s="84"/>
      <c r="R520" s="66"/>
      <c r="S520" s="66"/>
      <c r="T520" s="66"/>
      <c r="U520" s="66"/>
    </row>
    <row r="521" spans="1:21" s="41" customFormat="1" ht="15">
      <c r="A521" s="142" t="s">
        <v>643</v>
      </c>
      <c r="B521" s="60" t="str">
        <f aca="true" t="shared" si="265" ref="B521:M521">B463</f>
        <v>Territorial Consumption of Ecosystem Capital, 10^6 € - Atmosphere/climate</v>
      </c>
      <c r="C521" s="909">
        <f t="shared" si="265"/>
        <v>78072.9947548873</v>
      </c>
      <c r="D521" s="909">
        <f t="shared" si="265"/>
        <v>82111.10736880107</v>
      </c>
      <c r="E521" s="909">
        <f t="shared" si="265"/>
        <v>86676.13196886868</v>
      </c>
      <c r="F521" s="909">
        <f t="shared" si="265"/>
        <v>90805.23299376531</v>
      </c>
      <c r="G521" s="909">
        <f t="shared" si="265"/>
        <v>95523.40640439815</v>
      </c>
      <c r="H521" s="909">
        <f t="shared" si="265"/>
        <v>102403.99208377294</v>
      </c>
      <c r="I521" s="909">
        <f t="shared" si="265"/>
        <v>106619.67724013292</v>
      </c>
      <c r="J521" s="909">
        <f t="shared" si="265"/>
        <v>110602.99216416615</v>
      </c>
      <c r="K521" s="909">
        <f t="shared" si="265"/>
        <v>112459.76300493839</v>
      </c>
      <c r="L521" s="909">
        <f t="shared" si="265"/>
        <v>118027.98460667512</v>
      </c>
      <c r="M521" s="912">
        <f t="shared" si="265"/>
        <v>123047.41740959411</v>
      </c>
      <c r="N521" s="84"/>
      <c r="O521" s="84"/>
      <c r="P521" s="84"/>
      <c r="Q521" s="84"/>
      <c r="R521" s="66"/>
      <c r="S521" s="66"/>
      <c r="T521" s="66"/>
      <c r="U521" s="66"/>
    </row>
    <row r="522" spans="1:17" s="124" customFormat="1" ht="15">
      <c r="A522" s="941" t="s">
        <v>632</v>
      </c>
      <c r="B522" s="939" t="str">
        <f>B434</f>
        <v>Ecosystem capital depreciation virtually embedded into imports (total)</v>
      </c>
      <c r="C522" s="900">
        <f>SUM(C523:C525)</f>
        <v>114684.1679667416</v>
      </c>
      <c r="D522" s="900">
        <f aca="true" t="shared" si="266" ref="D522:M522">SUM(D523:D525)</f>
        <v>109872.81741291056</v>
      </c>
      <c r="E522" s="900">
        <f t="shared" si="266"/>
        <v>107795.74852971386</v>
      </c>
      <c r="F522" s="900">
        <f t="shared" si="266"/>
        <v>112346.8512911844</v>
      </c>
      <c r="G522" s="900">
        <f t="shared" si="266"/>
        <v>119212.70506061567</v>
      </c>
      <c r="H522" s="900">
        <f t="shared" si="266"/>
        <v>121150.25057816273</v>
      </c>
      <c r="I522" s="900">
        <f t="shared" si="266"/>
        <v>136134.3614842726</v>
      </c>
      <c r="J522" s="900">
        <f t="shared" si="266"/>
        <v>145772.09948356953</v>
      </c>
      <c r="K522" s="900">
        <f t="shared" si="266"/>
        <v>142629.42899609107</v>
      </c>
      <c r="L522" s="900">
        <f t="shared" si="266"/>
        <v>140885.94220174162</v>
      </c>
      <c r="M522" s="901">
        <f t="shared" si="266"/>
        <v>141279.54572300136</v>
      </c>
      <c r="O522" s="488"/>
      <c r="P522" s="488"/>
      <c r="Q522" s="488"/>
    </row>
    <row r="523" spans="1:17" s="41" customFormat="1" ht="15">
      <c r="A523" s="142" t="s">
        <v>633</v>
      </c>
      <c r="B523" s="60" t="s">
        <v>865</v>
      </c>
      <c r="C523" s="909">
        <f aca="true" t="shared" si="267" ref="C523:M523">C431</f>
        <v>83158.10146708532</v>
      </c>
      <c r="D523" s="909">
        <f t="shared" si="267"/>
        <v>76825.88758827145</v>
      </c>
      <c r="E523" s="909">
        <f t="shared" si="267"/>
        <v>73153.0210138428</v>
      </c>
      <c r="F523" s="909">
        <f t="shared" si="267"/>
        <v>76029.66717551977</v>
      </c>
      <c r="G523" s="909">
        <f t="shared" si="267"/>
        <v>81138.49511068781</v>
      </c>
      <c r="H523" s="909">
        <f t="shared" si="267"/>
        <v>81232.34016968888</v>
      </c>
      <c r="I523" s="909">
        <f t="shared" si="267"/>
        <v>94281.76579510448</v>
      </c>
      <c r="J523" s="909">
        <f t="shared" si="267"/>
        <v>101889.308454467</v>
      </c>
      <c r="K523" s="909">
        <f t="shared" si="267"/>
        <v>96616.18154894788</v>
      </c>
      <c r="L523" s="909">
        <f t="shared" si="267"/>
        <v>92636.98917832402</v>
      </c>
      <c r="M523" s="912">
        <f t="shared" si="267"/>
        <v>90684.40098041731</v>
      </c>
      <c r="O523" s="84"/>
      <c r="P523" s="84"/>
      <c r="Q523" s="84"/>
    </row>
    <row r="524" spans="1:13" s="41" customFormat="1" ht="15">
      <c r="A524" s="142" t="s">
        <v>634</v>
      </c>
      <c r="B524" s="60" t="s">
        <v>866</v>
      </c>
      <c r="C524" s="909">
        <f aca="true" t="shared" si="268" ref="C524:M524">C432</f>
        <v>1848.0000000000002</v>
      </c>
      <c r="D524" s="909">
        <f t="shared" si="268"/>
        <v>1884.9600000000003</v>
      </c>
      <c r="E524" s="909">
        <f t="shared" si="268"/>
        <v>1922.6592000000003</v>
      </c>
      <c r="F524" s="909">
        <f t="shared" si="268"/>
        <v>1961.1123840000002</v>
      </c>
      <c r="G524" s="909">
        <f t="shared" si="268"/>
        <v>2000.3346316800003</v>
      </c>
      <c r="H524" s="909">
        <f t="shared" si="268"/>
        <v>2040.3413243136004</v>
      </c>
      <c r="I524" s="909">
        <f t="shared" si="268"/>
        <v>2081.1481507998724</v>
      </c>
      <c r="J524" s="909">
        <f t="shared" si="268"/>
        <v>2122.7711138158697</v>
      </c>
      <c r="K524" s="909">
        <f t="shared" si="268"/>
        <v>2165.226536092187</v>
      </c>
      <c r="L524" s="909">
        <f t="shared" si="268"/>
        <v>2208.531066814031</v>
      </c>
      <c r="M524" s="912">
        <f t="shared" si="268"/>
        <v>2252.701688150312</v>
      </c>
    </row>
    <row r="525" spans="1:13" s="41" customFormat="1" ht="15">
      <c r="A525" s="142" t="s">
        <v>635</v>
      </c>
      <c r="B525" s="60" t="s">
        <v>867</v>
      </c>
      <c r="C525" s="909">
        <f aca="true" t="shared" si="269" ref="C525:M525">C433</f>
        <v>29678.066499656292</v>
      </c>
      <c r="D525" s="909">
        <f t="shared" si="269"/>
        <v>31161.96982463911</v>
      </c>
      <c r="E525" s="909">
        <f t="shared" si="269"/>
        <v>32720.068315871067</v>
      </c>
      <c r="F525" s="909">
        <f t="shared" si="269"/>
        <v>34356.07173166462</v>
      </c>
      <c r="G525" s="909">
        <f t="shared" si="269"/>
        <v>36073.875318247854</v>
      </c>
      <c r="H525" s="909">
        <f t="shared" si="269"/>
        <v>37877.56908416025</v>
      </c>
      <c r="I525" s="909">
        <f t="shared" si="269"/>
        <v>39771.447538368266</v>
      </c>
      <c r="J525" s="909">
        <f t="shared" si="269"/>
        <v>41760.01991528668</v>
      </c>
      <c r="K525" s="909">
        <f t="shared" si="269"/>
        <v>43848.02091105101</v>
      </c>
      <c r="L525" s="909">
        <f t="shared" si="269"/>
        <v>46040.42195660356</v>
      </c>
      <c r="M525" s="912">
        <f t="shared" si="269"/>
        <v>48342.44305443374</v>
      </c>
    </row>
    <row r="526" spans="1:19" s="169" customFormat="1" ht="15.75">
      <c r="A526" s="615" t="s">
        <v>572</v>
      </c>
      <c r="B526" s="600" t="s">
        <v>608</v>
      </c>
      <c r="C526" s="692">
        <f>C527+C531+C532+C533</f>
        <v>135022.19007792187</v>
      </c>
      <c r="D526" s="692">
        <f aca="true" t="shared" si="270" ref="D526:M526">D527+D531+D532+D533</f>
        <v>673177.3249480766</v>
      </c>
      <c r="E526" s="692">
        <f t="shared" si="270"/>
        <v>478171.9016666474</v>
      </c>
      <c r="F526" s="692">
        <f t="shared" si="270"/>
        <v>275125.2134656614</v>
      </c>
      <c r="G526" s="692">
        <f t="shared" si="270"/>
        <v>70778.75172787312</v>
      </c>
      <c r="H526" s="692">
        <f t="shared" si="270"/>
        <v>790844.439284845</v>
      </c>
      <c r="I526" s="692">
        <f t="shared" si="270"/>
        <v>2419900.8211710257</v>
      </c>
      <c r="J526" s="692">
        <f t="shared" si="270"/>
        <v>97613.42691702089</v>
      </c>
      <c r="K526" s="692">
        <f t="shared" si="270"/>
        <v>2516404.248088046</v>
      </c>
      <c r="L526" s="692">
        <f t="shared" si="270"/>
        <v>130439.73520459984</v>
      </c>
      <c r="M526" s="693">
        <f t="shared" si="270"/>
        <v>26354.347040919965</v>
      </c>
      <c r="N526" s="665"/>
      <c r="O526" s="665"/>
      <c r="P526" s="665"/>
      <c r="Q526" s="98"/>
      <c r="R526" s="168"/>
      <c r="S526" s="586"/>
    </row>
    <row r="527" spans="1:21" s="123" customFormat="1" ht="15">
      <c r="A527" s="490" t="s">
        <v>654</v>
      </c>
      <c r="B527" s="875" t="s">
        <v>868</v>
      </c>
      <c r="C527" s="487">
        <f aca="true" t="shared" si="271" ref="C527:M527">C274*111</f>
        <v>40173.65702337656</v>
      </c>
      <c r="D527" s="487">
        <f t="shared" si="271"/>
        <v>201853.29748442303</v>
      </c>
      <c r="E527" s="487">
        <f t="shared" si="271"/>
        <v>143351.67049999422</v>
      </c>
      <c r="F527" s="487">
        <f t="shared" si="271"/>
        <v>82437.66403969843</v>
      </c>
      <c r="G527" s="487">
        <f t="shared" si="271"/>
        <v>20900.62551836194</v>
      </c>
      <c r="H527" s="487">
        <f t="shared" si="271"/>
        <v>237153.43178545352</v>
      </c>
      <c r="I527" s="487">
        <f t="shared" si="271"/>
        <v>725870.3463513077</v>
      </c>
      <c r="J527" s="487">
        <f t="shared" si="271"/>
        <v>28951.028075106267</v>
      </c>
      <c r="K527" s="487">
        <f t="shared" si="271"/>
        <v>754821.3744264139</v>
      </c>
      <c r="L527" s="487">
        <f t="shared" si="271"/>
        <v>39032.02056137995</v>
      </c>
      <c r="M527" s="491">
        <f t="shared" si="271"/>
        <v>7806.40411227599</v>
      </c>
      <c r="N527" s="488"/>
      <c r="O527" s="488"/>
      <c r="P527" s="488"/>
      <c r="Q527" s="488"/>
      <c r="R527" s="124"/>
      <c r="S527" s="124"/>
      <c r="T527" s="124"/>
      <c r="U527" s="124"/>
    </row>
    <row r="528" spans="1:21" s="41" customFormat="1" ht="15">
      <c r="A528" s="142" t="s">
        <v>655</v>
      </c>
      <c r="B528" s="60" t="s">
        <v>617</v>
      </c>
      <c r="C528" s="38">
        <f aca="true" t="shared" si="272" ref="C528:M528">C519/C$518*C$527</f>
        <v>13900.694936691716</v>
      </c>
      <c r="D528" s="38">
        <f t="shared" si="272"/>
        <v>122040.5981641421</v>
      </c>
      <c r="E528" s="38">
        <f t="shared" si="272"/>
        <v>86670.48709966385</v>
      </c>
      <c r="F528" s="38">
        <f t="shared" si="272"/>
        <v>49841.85027463209</v>
      </c>
      <c r="G528" s="38">
        <f t="shared" si="272"/>
        <v>12636.527973799697</v>
      </c>
      <c r="H528" s="38">
        <f t="shared" si="272"/>
        <v>143383.0758896039</v>
      </c>
      <c r="I528" s="38">
        <f t="shared" si="272"/>
        <v>438861.55124695314</v>
      </c>
      <c r="J528" s="38">
        <f t="shared" si="272"/>
        <v>17503.80512869995</v>
      </c>
      <c r="K528" s="38">
        <f t="shared" si="272"/>
        <v>456365.356375653</v>
      </c>
      <c r="L528" s="38">
        <f t="shared" si="272"/>
        <v>23598.77790568916</v>
      </c>
      <c r="M528" s="873">
        <f t="shared" si="272"/>
        <v>4719.7555811378315</v>
      </c>
      <c r="N528" s="84"/>
      <c r="O528" s="84"/>
      <c r="P528" s="84"/>
      <c r="Q528" s="84"/>
      <c r="R528" s="66"/>
      <c r="S528" s="66"/>
      <c r="T528" s="66"/>
      <c r="U528" s="66"/>
    </row>
    <row r="529" spans="1:21" s="41" customFormat="1" ht="15">
      <c r="A529" s="142" t="s">
        <v>656</v>
      </c>
      <c r="B529" s="60" t="s">
        <v>618</v>
      </c>
      <c r="C529" s="38">
        <f aca="true" t="shared" si="273" ref="C529:M529">C520/C$518*C$527</f>
        <v>392.98890438861446</v>
      </c>
      <c r="D529" s="38">
        <f t="shared" si="273"/>
        <v>1193.832090903491</v>
      </c>
      <c r="E529" s="38">
        <f t="shared" si="273"/>
        <v>847.8326916642174</v>
      </c>
      <c r="F529" s="38">
        <f t="shared" si="273"/>
        <v>487.565623431579</v>
      </c>
      <c r="G529" s="38">
        <f t="shared" si="273"/>
        <v>123.61372231584384</v>
      </c>
      <c r="H529" s="38">
        <f t="shared" si="273"/>
        <v>1402.6096222441688</v>
      </c>
      <c r="I529" s="38">
        <f t="shared" si="273"/>
        <v>4293.055026144894</v>
      </c>
      <c r="J529" s="38">
        <f t="shared" si="273"/>
        <v>171.22666219201585</v>
      </c>
      <c r="K529" s="38">
        <f t="shared" si="273"/>
        <v>4464.28168833691</v>
      </c>
      <c r="L529" s="38">
        <f t="shared" si="273"/>
        <v>230.84923208934057</v>
      </c>
      <c r="M529" s="873">
        <f t="shared" si="273"/>
        <v>46.169846417868115</v>
      </c>
      <c r="N529" s="84"/>
      <c r="O529" s="84"/>
      <c r="P529" s="84"/>
      <c r="Q529" s="84"/>
      <c r="R529" s="66"/>
      <c r="S529" s="66"/>
      <c r="T529" s="66"/>
      <c r="U529" s="66"/>
    </row>
    <row r="530" spans="1:21" s="41" customFormat="1" ht="15">
      <c r="A530" s="142" t="s">
        <v>657</v>
      </c>
      <c r="B530" s="60" t="s">
        <v>646</v>
      </c>
      <c r="C530" s="38">
        <f aca="true" t="shared" si="274" ref="C530:M530">C521/C$518*C$527</f>
        <v>25879.97318229623</v>
      </c>
      <c r="D530" s="38">
        <f t="shared" si="274"/>
        <v>78618.86722937744</v>
      </c>
      <c r="E530" s="38">
        <f t="shared" si="274"/>
        <v>55833.35070866614</v>
      </c>
      <c r="F530" s="38">
        <f t="shared" si="274"/>
        <v>32108.24814163476</v>
      </c>
      <c r="G530" s="38">
        <f t="shared" si="274"/>
        <v>8140.483822246399</v>
      </c>
      <c r="H530" s="38">
        <f t="shared" si="274"/>
        <v>92367.74627360547</v>
      </c>
      <c r="I530" s="38">
        <f t="shared" si="274"/>
        <v>282715.7400782096</v>
      </c>
      <c r="J530" s="38">
        <f t="shared" si="274"/>
        <v>11275.996284214301</v>
      </c>
      <c r="K530" s="38">
        <f t="shared" si="274"/>
        <v>293991.7363624239</v>
      </c>
      <c r="L530" s="38">
        <f t="shared" si="274"/>
        <v>15202.393423601452</v>
      </c>
      <c r="M530" s="873">
        <f t="shared" si="274"/>
        <v>3040.478684720291</v>
      </c>
      <c r="N530" s="84"/>
      <c r="O530" s="84"/>
      <c r="P530" s="84"/>
      <c r="Q530" s="84"/>
      <c r="R530" s="66"/>
      <c r="S530" s="66"/>
      <c r="T530" s="66"/>
      <c r="U530" s="66"/>
    </row>
    <row r="531" spans="1:21" s="123" customFormat="1" ht="15">
      <c r="A531" s="490" t="s">
        <v>658</v>
      </c>
      <c r="B531" s="875" t="s">
        <v>869</v>
      </c>
      <c r="C531" s="487">
        <f aca="true" t="shared" si="275" ref="C531:M531">C275*111</f>
        <v>93738.5330545453</v>
      </c>
      <c r="D531" s="487">
        <f t="shared" si="275"/>
        <v>470991.02746365365</v>
      </c>
      <c r="E531" s="487">
        <f t="shared" si="275"/>
        <v>334487.23116665316</v>
      </c>
      <c r="F531" s="487">
        <f t="shared" si="275"/>
        <v>192354.549425963</v>
      </c>
      <c r="G531" s="487">
        <f t="shared" si="275"/>
        <v>48768.12620951119</v>
      </c>
      <c r="H531" s="487">
        <f t="shared" si="275"/>
        <v>553358.0074993914</v>
      </c>
      <c r="I531" s="487">
        <f t="shared" si="275"/>
        <v>1693697.474819718</v>
      </c>
      <c r="J531" s="487">
        <f t="shared" si="275"/>
        <v>67552.39884191462</v>
      </c>
      <c r="K531" s="487">
        <f t="shared" si="275"/>
        <v>1761249.8736616322</v>
      </c>
      <c r="L531" s="487">
        <f t="shared" si="275"/>
        <v>91074.7146432199</v>
      </c>
      <c r="M531" s="491">
        <f t="shared" si="275"/>
        <v>18214.942928643977</v>
      </c>
      <c r="N531" s="488"/>
      <c r="O531" s="488"/>
      <c r="P531" s="488"/>
      <c r="Q531" s="488"/>
      <c r="R531" s="124"/>
      <c r="S531" s="124"/>
      <c r="T531" s="124"/>
      <c r="U531" s="124"/>
    </row>
    <row r="532" spans="1:13" s="123" customFormat="1" ht="15">
      <c r="A532" s="490" t="s">
        <v>574</v>
      </c>
      <c r="B532" s="882" t="s">
        <v>870</v>
      </c>
      <c r="C532" s="882">
        <v>333</v>
      </c>
      <c r="D532" s="882">
        <v>333</v>
      </c>
      <c r="E532" s="882">
        <v>333</v>
      </c>
      <c r="F532" s="882">
        <v>333</v>
      </c>
      <c r="G532" s="882">
        <v>333</v>
      </c>
      <c r="H532" s="882">
        <v>333</v>
      </c>
      <c r="I532" s="882">
        <v>333</v>
      </c>
      <c r="J532" s="882">
        <v>333</v>
      </c>
      <c r="K532" s="882">
        <v>333</v>
      </c>
      <c r="L532" s="882">
        <v>333</v>
      </c>
      <c r="M532" s="946">
        <v>333</v>
      </c>
    </row>
    <row r="533" spans="1:21" s="123" customFormat="1" ht="15">
      <c r="A533" s="490" t="s">
        <v>577</v>
      </c>
      <c r="B533" s="882" t="s">
        <v>659</v>
      </c>
      <c r="C533" s="882">
        <v>777</v>
      </c>
      <c r="D533" s="882"/>
      <c r="E533" s="882"/>
      <c r="F533" s="882"/>
      <c r="G533" s="882">
        <v>777</v>
      </c>
      <c r="H533" s="882"/>
      <c r="I533" s="882"/>
      <c r="J533" s="882">
        <v>777</v>
      </c>
      <c r="K533" s="882"/>
      <c r="L533" s="882"/>
      <c r="M533" s="946"/>
      <c r="R533" s="124"/>
      <c r="S533" s="124"/>
      <c r="T533" s="124"/>
      <c r="U533" s="124"/>
    </row>
    <row r="534" spans="1:19" s="169" customFormat="1" ht="15.75">
      <c r="A534" s="615" t="s">
        <v>573</v>
      </c>
      <c r="B534" s="600" t="s">
        <v>609</v>
      </c>
      <c r="C534" s="692">
        <f>+C517-C526</f>
        <v>100855.21452695879</v>
      </c>
      <c r="D534" s="692">
        <f>D511-C511+D517-D526</f>
        <v>-11944447.894906607</v>
      </c>
      <c r="E534" s="692">
        <f aca="true" t="shared" si="276" ref="E534:M534">E511-D511+E517-E526</f>
        <v>-10120423.8772491</v>
      </c>
      <c r="F534" s="692">
        <f t="shared" si="276"/>
        <v>-12934584.028235143</v>
      </c>
      <c r="G534" s="692">
        <f t="shared" si="276"/>
        <v>-13633032.63848367</v>
      </c>
      <c r="H534" s="692">
        <f t="shared" si="276"/>
        <v>-16491416.064023543</v>
      </c>
      <c r="I534" s="692">
        <f t="shared" si="276"/>
        <v>-13587527.250491738</v>
      </c>
      <c r="J534" s="692">
        <f t="shared" si="276"/>
        <v>840852269.903533</v>
      </c>
      <c r="K534" s="692">
        <f t="shared" si="276"/>
        <v>-6947076.377631724</v>
      </c>
      <c r="L534" s="692">
        <f t="shared" si="276"/>
        <v>-4490451.071401486</v>
      </c>
      <c r="M534" s="693">
        <f t="shared" si="276"/>
        <v>-4316429.508240687</v>
      </c>
      <c r="N534" s="665"/>
      <c r="O534" s="665"/>
      <c r="P534" s="665"/>
      <c r="Q534" s="98"/>
      <c r="R534" s="168"/>
      <c r="S534" s="586"/>
    </row>
    <row r="535" spans="1:19" s="169" customFormat="1" ht="16.5" thickBot="1">
      <c r="A535" s="700" t="s">
        <v>670</v>
      </c>
      <c r="B535" s="969" t="s">
        <v>653</v>
      </c>
      <c r="C535" s="970">
        <f>C511+C517-C526</f>
        <v>335320855.21452695</v>
      </c>
      <c r="D535" s="970">
        <f>D510+D534</f>
        <v>323376407.3196204</v>
      </c>
      <c r="E535" s="970">
        <f aca="true" t="shared" si="277" ref="E535:M535">E510+E534</f>
        <v>313255983.44237125</v>
      </c>
      <c r="F535" s="970">
        <f t="shared" si="277"/>
        <v>300321399.4141361</v>
      </c>
      <c r="G535" s="970">
        <f t="shared" si="277"/>
        <v>286688366.77565247</v>
      </c>
      <c r="H535" s="970">
        <f t="shared" si="277"/>
        <v>270196950.7116289</v>
      </c>
      <c r="I535" s="970">
        <f t="shared" si="277"/>
        <v>256609423.46113718</v>
      </c>
      <c r="J535" s="970">
        <f t="shared" si="277"/>
        <v>1097461693.3646703</v>
      </c>
      <c r="K535" s="970">
        <f t="shared" si="277"/>
        <v>1090514616.9870386</v>
      </c>
      <c r="L535" s="970">
        <f t="shared" si="277"/>
        <v>1086024165.915637</v>
      </c>
      <c r="M535" s="971">
        <f t="shared" si="277"/>
        <v>1081707736.4073963</v>
      </c>
      <c r="N535" s="665"/>
      <c r="O535" s="665"/>
      <c r="P535" s="665"/>
      <c r="Q535" s="98"/>
      <c r="R535" s="168"/>
      <c r="S535" s="586"/>
    </row>
    <row r="536" spans="1:27" ht="15">
      <c r="A536" s="7"/>
      <c r="B536" s="32"/>
      <c r="D536" s="93"/>
      <c r="E536" s="93"/>
      <c r="I536" s="42"/>
      <c r="J536" s="42"/>
      <c r="K536" s="42"/>
      <c r="L536" s="42"/>
      <c r="M536" s="7"/>
      <c r="N536" s="7"/>
      <c r="O536" s="35"/>
      <c r="P536" s="35"/>
      <c r="Q536" s="35"/>
      <c r="R536" s="35"/>
      <c r="S536" s="7"/>
      <c r="T536" s="7"/>
      <c r="U536" s="7"/>
      <c r="X536" s="7"/>
      <c r="Y536" s="7"/>
      <c r="Z536" s="7"/>
      <c r="AA536" s="7"/>
    </row>
    <row r="537" spans="1:27" ht="15">
      <c r="A537" s="7"/>
      <c r="B537" s="32"/>
      <c r="D537" s="93"/>
      <c r="E537" s="93"/>
      <c r="I537" s="42"/>
      <c r="J537" s="42"/>
      <c r="K537" s="42"/>
      <c r="L537" s="42"/>
      <c r="M537" s="7"/>
      <c r="N537" s="7"/>
      <c r="O537" s="35"/>
      <c r="P537" s="35"/>
      <c r="Q537" s="35"/>
      <c r="R537" s="35"/>
      <c r="S537" s="7"/>
      <c r="T537" s="7"/>
      <c r="U537" s="7"/>
      <c r="X537" s="7"/>
      <c r="Y537" s="7"/>
      <c r="Z537" s="7"/>
      <c r="AA537" s="7"/>
    </row>
    <row r="538" spans="1:27" ht="15">
      <c r="A538" s="7"/>
      <c r="B538" s="32"/>
      <c r="D538" s="93"/>
      <c r="E538" s="93"/>
      <c r="I538" s="42"/>
      <c r="J538" s="42"/>
      <c r="K538" s="42"/>
      <c r="L538" s="42"/>
      <c r="M538" s="7"/>
      <c r="N538" s="7"/>
      <c r="O538" s="35"/>
      <c r="P538" s="35"/>
      <c r="Q538" s="35"/>
      <c r="R538" s="35"/>
      <c r="S538" s="7"/>
      <c r="T538" s="7"/>
      <c r="U538" s="7"/>
      <c r="X538" s="7"/>
      <c r="Y538" s="7"/>
      <c r="Z538" s="7"/>
      <c r="AA538" s="7"/>
    </row>
    <row r="539" spans="1:27" ht="15">
      <c r="A539" s="7"/>
      <c r="B539" s="32"/>
      <c r="D539" s="93"/>
      <c r="E539" s="93"/>
      <c r="I539" s="42"/>
      <c r="J539" s="42"/>
      <c r="K539" s="42"/>
      <c r="L539" s="42"/>
      <c r="M539" s="7"/>
      <c r="N539" s="7"/>
      <c r="O539" s="35"/>
      <c r="P539" s="35"/>
      <c r="Q539" s="35"/>
      <c r="R539" s="35"/>
      <c r="S539" s="7"/>
      <c r="T539" s="7"/>
      <c r="U539" s="7"/>
      <c r="X539" s="7"/>
      <c r="Y539" s="7"/>
      <c r="Z539" s="7"/>
      <c r="AA539" s="7"/>
    </row>
    <row r="540" spans="1:27" ht="15">
      <c r="A540" s="7"/>
      <c r="B540" s="32"/>
      <c r="D540" s="93"/>
      <c r="E540" s="93"/>
      <c r="I540" s="42"/>
      <c r="J540" s="42"/>
      <c r="K540" s="42"/>
      <c r="L540" s="42"/>
      <c r="M540" s="7"/>
      <c r="N540" s="7"/>
      <c r="O540" s="35"/>
      <c r="P540" s="35"/>
      <c r="Q540" s="35"/>
      <c r="R540" s="35"/>
      <c r="S540" s="7"/>
      <c r="T540" s="7"/>
      <c r="U540" s="7"/>
      <c r="X540" s="7"/>
      <c r="Y540" s="7"/>
      <c r="Z540" s="7"/>
      <c r="AA540" s="7"/>
    </row>
    <row r="541" spans="1:27" ht="15">
      <c r="A541" s="7"/>
      <c r="B541" s="32"/>
      <c r="D541" s="93"/>
      <c r="E541" s="93"/>
      <c r="I541" s="42"/>
      <c r="J541" s="42"/>
      <c r="K541" s="42"/>
      <c r="L541" s="42"/>
      <c r="M541" s="7"/>
      <c r="N541" s="7"/>
      <c r="O541" s="35"/>
      <c r="P541" s="35"/>
      <c r="Q541" s="35"/>
      <c r="R541" s="35"/>
      <c r="S541" s="7"/>
      <c r="T541" s="7"/>
      <c r="U541" s="7"/>
      <c r="X541" s="7"/>
      <c r="Y541" s="7"/>
      <c r="Z541" s="7"/>
      <c r="AA541" s="7"/>
    </row>
    <row r="542" spans="1:27" ht="15">
      <c r="A542" s="7"/>
      <c r="B542" s="32"/>
      <c r="D542" s="93"/>
      <c r="E542" s="93"/>
      <c r="I542" s="42"/>
      <c r="J542" s="42"/>
      <c r="K542" s="42"/>
      <c r="L542" s="42"/>
      <c r="M542" s="7"/>
      <c r="N542" s="7"/>
      <c r="O542" s="35"/>
      <c r="P542" s="35"/>
      <c r="Q542" s="35"/>
      <c r="R542" s="35"/>
      <c r="S542" s="7"/>
      <c r="T542" s="7"/>
      <c r="U542" s="7"/>
      <c r="X542" s="7"/>
      <c r="Y542" s="7"/>
      <c r="Z542" s="7"/>
      <c r="AA542" s="7"/>
    </row>
    <row r="543" spans="1:27" ht="15">
      <c r="A543" s="7"/>
      <c r="B543" s="32"/>
      <c r="D543" s="93"/>
      <c r="E543" s="93"/>
      <c r="I543" s="42"/>
      <c r="J543" s="42"/>
      <c r="K543" s="42"/>
      <c r="L543" s="42"/>
      <c r="M543" s="7"/>
      <c r="N543" s="7"/>
      <c r="O543" s="35"/>
      <c r="P543" s="35"/>
      <c r="Q543" s="35"/>
      <c r="R543" s="35"/>
      <c r="S543" s="7"/>
      <c r="T543" s="7"/>
      <c r="U543" s="7"/>
      <c r="X543" s="7"/>
      <c r="Y543" s="7"/>
      <c r="Z543" s="7"/>
      <c r="AA543" s="7"/>
    </row>
    <row r="544" spans="1:27" ht="15">
      <c r="A544" s="7"/>
      <c r="B544" s="32"/>
      <c r="D544" s="93"/>
      <c r="E544" s="93"/>
      <c r="I544" s="42"/>
      <c r="J544" s="42"/>
      <c r="K544" s="42"/>
      <c r="L544" s="42"/>
      <c r="M544" s="7"/>
      <c r="N544" s="7"/>
      <c r="O544" s="35"/>
      <c r="P544" s="35"/>
      <c r="Q544" s="35"/>
      <c r="R544" s="35"/>
      <c r="S544" s="7"/>
      <c r="T544" s="7"/>
      <c r="U544" s="7"/>
      <c r="X544" s="7"/>
      <c r="Y544" s="7"/>
      <c r="Z544" s="7"/>
      <c r="AA544" s="7"/>
    </row>
    <row r="545" spans="1:27" ht="15">
      <c r="A545" s="7"/>
      <c r="B545" s="32"/>
      <c r="D545" s="93"/>
      <c r="E545" s="93"/>
      <c r="I545" s="42"/>
      <c r="J545" s="42"/>
      <c r="K545" s="42"/>
      <c r="L545" s="42"/>
      <c r="M545" s="7"/>
      <c r="N545" s="7"/>
      <c r="O545" s="35"/>
      <c r="P545" s="35"/>
      <c r="Q545" s="35"/>
      <c r="R545" s="35"/>
      <c r="S545" s="7"/>
      <c r="T545" s="7"/>
      <c r="U545" s="7"/>
      <c r="X545" s="7"/>
      <c r="Y545" s="7"/>
      <c r="Z545" s="7"/>
      <c r="AA545" s="7"/>
    </row>
    <row r="546" spans="1:27" ht="15">
      <c r="A546" s="7"/>
      <c r="B546" s="32"/>
      <c r="D546" s="93"/>
      <c r="E546" s="93"/>
      <c r="I546" s="42"/>
      <c r="J546" s="42"/>
      <c r="K546" s="42"/>
      <c r="L546" s="42"/>
      <c r="M546" s="7"/>
      <c r="N546" s="7"/>
      <c r="O546" s="35"/>
      <c r="P546" s="35"/>
      <c r="Q546" s="35"/>
      <c r="R546" s="35"/>
      <c r="S546" s="7"/>
      <c r="T546" s="7"/>
      <c r="U546" s="7"/>
      <c r="X546" s="7"/>
      <c r="Y546" s="7"/>
      <c r="Z546" s="7"/>
      <c r="AA546" s="7"/>
    </row>
    <row r="547" spans="1:27" ht="15">
      <c r="A547" s="7"/>
      <c r="B547" s="32"/>
      <c r="D547" s="93"/>
      <c r="E547" s="93"/>
      <c r="I547" s="42"/>
      <c r="J547" s="42"/>
      <c r="K547" s="42"/>
      <c r="L547" s="42"/>
      <c r="M547" s="7"/>
      <c r="N547" s="7"/>
      <c r="O547" s="35"/>
      <c r="P547" s="35"/>
      <c r="Q547" s="35"/>
      <c r="R547" s="35"/>
      <c r="S547" s="7"/>
      <c r="T547" s="7"/>
      <c r="U547" s="7"/>
      <c r="X547" s="7"/>
      <c r="Y547" s="7"/>
      <c r="Z547" s="7"/>
      <c r="AA547" s="7"/>
    </row>
    <row r="548" spans="1:27" ht="15">
      <c r="A548" s="7"/>
      <c r="B548" s="32"/>
      <c r="D548" s="93"/>
      <c r="E548" s="93"/>
      <c r="I548" s="42"/>
      <c r="J548" s="42"/>
      <c r="K548" s="42"/>
      <c r="L548" s="42"/>
      <c r="M548" s="7"/>
      <c r="N548" s="7"/>
      <c r="O548" s="35"/>
      <c r="P548" s="35"/>
      <c r="Q548" s="35"/>
      <c r="R548" s="35"/>
      <c r="S548" s="7"/>
      <c r="T548" s="7"/>
      <c r="U548" s="7"/>
      <c r="X548" s="7"/>
      <c r="Y548" s="7"/>
      <c r="Z548" s="7"/>
      <c r="AA548" s="7"/>
    </row>
    <row r="549" spans="1:27" ht="15">
      <c r="A549" s="7"/>
      <c r="B549" s="32"/>
      <c r="D549" s="93"/>
      <c r="E549" s="93"/>
      <c r="I549" s="42"/>
      <c r="J549" s="42"/>
      <c r="K549" s="42"/>
      <c r="L549" s="42"/>
      <c r="M549" s="7"/>
      <c r="N549" s="7"/>
      <c r="O549" s="35"/>
      <c r="P549" s="35"/>
      <c r="Q549" s="35"/>
      <c r="R549" s="35"/>
      <c r="S549" s="7"/>
      <c r="T549" s="7"/>
      <c r="U549" s="7"/>
      <c r="X549" s="7"/>
      <c r="Y549" s="7"/>
      <c r="Z549" s="7"/>
      <c r="AA549" s="7"/>
    </row>
    <row r="550" spans="1:27" ht="15">
      <c r="A550" s="7"/>
      <c r="B550" s="32"/>
      <c r="D550" s="93"/>
      <c r="E550" s="93"/>
      <c r="I550" s="42"/>
      <c r="J550" s="42"/>
      <c r="K550" s="42"/>
      <c r="L550" s="42"/>
      <c r="M550" s="7"/>
      <c r="N550" s="7"/>
      <c r="O550" s="35"/>
      <c r="P550" s="35"/>
      <c r="Q550" s="35"/>
      <c r="R550" s="35"/>
      <c r="S550" s="7"/>
      <c r="T550" s="7"/>
      <c r="U550" s="7"/>
      <c r="X550" s="7"/>
      <c r="Y550" s="7"/>
      <c r="Z550" s="7"/>
      <c r="AA550" s="7"/>
    </row>
    <row r="551" spans="1:27" ht="15">
      <c r="A551" s="7"/>
      <c r="B551" s="32"/>
      <c r="D551" s="93"/>
      <c r="E551" s="93"/>
      <c r="I551" s="42"/>
      <c r="J551" s="42"/>
      <c r="K551" s="42"/>
      <c r="L551" s="42"/>
      <c r="M551" s="7"/>
      <c r="N551" s="7"/>
      <c r="O551" s="35"/>
      <c r="P551" s="35"/>
      <c r="Q551" s="35"/>
      <c r="R551" s="35"/>
      <c r="S551" s="7"/>
      <c r="T551" s="7"/>
      <c r="U551" s="7"/>
      <c r="X551" s="7"/>
      <c r="Y551" s="7"/>
      <c r="Z551" s="7"/>
      <c r="AA551" s="7"/>
    </row>
    <row r="552" spans="1:27" ht="15">
      <c r="A552" s="7"/>
      <c r="B552" s="32"/>
      <c r="D552" s="93"/>
      <c r="E552" s="93"/>
      <c r="I552" s="42"/>
      <c r="J552" s="42"/>
      <c r="K552" s="42"/>
      <c r="L552" s="42"/>
      <c r="M552" s="7"/>
      <c r="N552" s="7"/>
      <c r="O552" s="35"/>
      <c r="P552" s="35"/>
      <c r="Q552" s="35"/>
      <c r="R552" s="35"/>
      <c r="S552" s="7"/>
      <c r="T552" s="7"/>
      <c r="U552" s="7"/>
      <c r="X552" s="7"/>
      <c r="Y552" s="7"/>
      <c r="Z552" s="7"/>
      <c r="AA552" s="7"/>
    </row>
    <row r="553" spans="1:27" ht="15">
      <c r="A553" s="7"/>
      <c r="B553" s="32"/>
      <c r="D553" s="93"/>
      <c r="E553" s="93"/>
      <c r="I553" s="42"/>
      <c r="J553" s="42"/>
      <c r="K553" s="42"/>
      <c r="L553" s="42"/>
      <c r="M553" s="7"/>
      <c r="N553" s="7"/>
      <c r="O553" s="35"/>
      <c r="P553" s="35"/>
      <c r="Q553" s="35"/>
      <c r="R553" s="35"/>
      <c r="S553" s="7"/>
      <c r="T553" s="7"/>
      <c r="U553" s="7"/>
      <c r="X553" s="7"/>
      <c r="Y553" s="7"/>
      <c r="Z553" s="7"/>
      <c r="AA553" s="7"/>
    </row>
    <row r="554" spans="1:27" ht="15">
      <c r="A554" s="7"/>
      <c r="B554" s="32"/>
      <c r="D554" s="93"/>
      <c r="E554" s="93"/>
      <c r="I554" s="42"/>
      <c r="J554" s="42"/>
      <c r="K554" s="42"/>
      <c r="L554" s="42"/>
      <c r="M554" s="7"/>
      <c r="N554" s="7"/>
      <c r="O554" s="35"/>
      <c r="P554" s="35"/>
      <c r="Q554" s="35"/>
      <c r="R554" s="35"/>
      <c r="S554" s="7"/>
      <c r="T554" s="7"/>
      <c r="U554" s="7"/>
      <c r="X554" s="7"/>
      <c r="Y554" s="7"/>
      <c r="Z554" s="7"/>
      <c r="AA554" s="7"/>
    </row>
    <row r="555" spans="1:27" ht="15">
      <c r="A555" s="7"/>
      <c r="B555" s="32"/>
      <c r="D555" s="93"/>
      <c r="E555" s="93"/>
      <c r="I555" s="42"/>
      <c r="J555" s="42"/>
      <c r="K555" s="42"/>
      <c r="L555" s="42"/>
      <c r="M555" s="7"/>
      <c r="N555" s="7"/>
      <c r="O555" s="35"/>
      <c r="P555" s="35"/>
      <c r="Q555" s="35"/>
      <c r="R555" s="35"/>
      <c r="S555" s="7"/>
      <c r="T555" s="7"/>
      <c r="U555" s="7"/>
      <c r="X555" s="7"/>
      <c r="Y555" s="7"/>
      <c r="Z555" s="7"/>
      <c r="AA555" s="7"/>
    </row>
    <row r="556" spans="1:27" ht="15">
      <c r="A556" s="7"/>
      <c r="B556" s="32"/>
      <c r="D556" s="93"/>
      <c r="E556" s="93"/>
      <c r="I556" s="42"/>
      <c r="J556" s="42"/>
      <c r="K556" s="42"/>
      <c r="L556" s="42"/>
      <c r="M556" s="7"/>
      <c r="N556" s="7"/>
      <c r="O556" s="35"/>
      <c r="P556" s="35"/>
      <c r="Q556" s="35"/>
      <c r="R556" s="35"/>
      <c r="S556" s="7"/>
      <c r="T556" s="7"/>
      <c r="U556" s="7"/>
      <c r="X556" s="7"/>
      <c r="Y556" s="7"/>
      <c r="Z556" s="7"/>
      <c r="AA556" s="7"/>
    </row>
    <row r="557" spans="1:27" ht="15">
      <c r="A557" s="7"/>
      <c r="B557" s="32"/>
      <c r="D557" s="93"/>
      <c r="E557" s="93"/>
      <c r="I557" s="42"/>
      <c r="J557" s="42"/>
      <c r="K557" s="42"/>
      <c r="L557" s="42"/>
      <c r="M557" s="7"/>
      <c r="N557" s="7"/>
      <c r="O557" s="35"/>
      <c r="P557" s="35"/>
      <c r="Q557" s="35"/>
      <c r="R557" s="35"/>
      <c r="S557" s="7"/>
      <c r="T557" s="7"/>
      <c r="U557" s="7"/>
      <c r="X557" s="7"/>
      <c r="Y557" s="7"/>
      <c r="Z557" s="7"/>
      <c r="AA557" s="7"/>
    </row>
    <row r="558" spans="1:27" ht="15">
      <c r="A558" s="7"/>
      <c r="B558" s="32"/>
      <c r="D558" s="93"/>
      <c r="E558" s="93"/>
      <c r="I558" s="42"/>
      <c r="J558" s="42"/>
      <c r="K558" s="42"/>
      <c r="L558" s="42"/>
      <c r="M558" s="7"/>
      <c r="N558" s="7"/>
      <c r="O558" s="35"/>
      <c r="P558" s="35"/>
      <c r="Q558" s="35"/>
      <c r="R558" s="35"/>
      <c r="S558" s="7"/>
      <c r="T558" s="7"/>
      <c r="U558" s="7"/>
      <c r="X558" s="7"/>
      <c r="Y558" s="7"/>
      <c r="Z558" s="7"/>
      <c r="AA558" s="7"/>
    </row>
    <row r="559" spans="1:27" ht="15">
      <c r="A559" s="7"/>
      <c r="B559" s="32"/>
      <c r="D559" s="93"/>
      <c r="E559" s="93"/>
      <c r="I559" s="42"/>
      <c r="J559" s="42"/>
      <c r="K559" s="42"/>
      <c r="L559" s="42"/>
      <c r="M559" s="7"/>
      <c r="N559" s="7"/>
      <c r="O559" s="35"/>
      <c r="P559" s="35"/>
      <c r="Q559" s="35"/>
      <c r="R559" s="35"/>
      <c r="S559" s="7"/>
      <c r="T559" s="7"/>
      <c r="U559" s="7"/>
      <c r="X559" s="7"/>
      <c r="Y559" s="7"/>
      <c r="Z559" s="7"/>
      <c r="AA559" s="7"/>
    </row>
    <row r="560" spans="1:27" ht="15">
      <c r="A560" s="7"/>
      <c r="B560" s="32"/>
      <c r="D560" s="93"/>
      <c r="E560" s="93"/>
      <c r="I560" s="42"/>
      <c r="J560" s="42"/>
      <c r="K560" s="42"/>
      <c r="L560" s="42"/>
      <c r="M560" s="7"/>
      <c r="N560" s="7"/>
      <c r="O560" s="35"/>
      <c r="P560" s="35"/>
      <c r="Q560" s="35"/>
      <c r="R560" s="35"/>
      <c r="S560" s="7"/>
      <c r="T560" s="7"/>
      <c r="U560" s="7"/>
      <c r="X560" s="7"/>
      <c r="Y560" s="7"/>
      <c r="Z560" s="7"/>
      <c r="AA560" s="7"/>
    </row>
    <row r="561" spans="1:27" ht="15">
      <c r="A561" s="7"/>
      <c r="B561" s="32"/>
      <c r="D561" s="93"/>
      <c r="E561" s="93"/>
      <c r="I561" s="42"/>
      <c r="J561" s="42"/>
      <c r="K561" s="42"/>
      <c r="L561" s="42"/>
      <c r="M561" s="7"/>
      <c r="N561" s="7"/>
      <c r="O561" s="35"/>
      <c r="P561" s="35"/>
      <c r="Q561" s="35"/>
      <c r="R561" s="35"/>
      <c r="S561" s="7"/>
      <c r="T561" s="7"/>
      <c r="U561" s="7"/>
      <c r="X561" s="7"/>
      <c r="Y561" s="7"/>
      <c r="Z561" s="7"/>
      <c r="AA561" s="7"/>
    </row>
    <row r="562" spans="1:27" ht="15">
      <c r="A562" s="7"/>
      <c r="B562" s="32"/>
      <c r="D562" s="93"/>
      <c r="E562" s="93"/>
      <c r="I562" s="42"/>
      <c r="J562" s="42"/>
      <c r="K562" s="42"/>
      <c r="L562" s="42"/>
      <c r="M562" s="7"/>
      <c r="N562" s="7"/>
      <c r="O562" s="35"/>
      <c r="P562" s="35"/>
      <c r="Q562" s="35"/>
      <c r="R562" s="35"/>
      <c r="S562" s="7"/>
      <c r="T562" s="7"/>
      <c r="U562" s="7"/>
      <c r="X562" s="7"/>
      <c r="Y562" s="7"/>
      <c r="Z562" s="7"/>
      <c r="AA562" s="7"/>
    </row>
    <row r="563" spans="1:27" ht="15">
      <c r="A563" s="7"/>
      <c r="B563" s="32"/>
      <c r="D563" s="93"/>
      <c r="E563" s="93"/>
      <c r="I563" s="42"/>
      <c r="J563" s="42"/>
      <c r="K563" s="42"/>
      <c r="L563" s="42"/>
      <c r="M563" s="7"/>
      <c r="N563" s="7"/>
      <c r="O563" s="35"/>
      <c r="P563" s="35"/>
      <c r="Q563" s="35"/>
      <c r="R563" s="35"/>
      <c r="S563" s="7"/>
      <c r="T563" s="7"/>
      <c r="U563" s="7"/>
      <c r="X563" s="7"/>
      <c r="Y563" s="7"/>
      <c r="Z563" s="7"/>
      <c r="AA563" s="7"/>
    </row>
    <row r="564" spans="1:27" ht="15">
      <c r="A564" s="7"/>
      <c r="B564" s="32"/>
      <c r="D564" s="93"/>
      <c r="E564" s="93"/>
      <c r="I564" s="42"/>
      <c r="J564" s="42"/>
      <c r="K564" s="42"/>
      <c r="L564" s="42"/>
      <c r="M564" s="7"/>
      <c r="N564" s="7"/>
      <c r="O564" s="35"/>
      <c r="P564" s="35"/>
      <c r="Q564" s="35"/>
      <c r="R564" s="35"/>
      <c r="S564" s="7"/>
      <c r="T564" s="7"/>
      <c r="U564" s="7"/>
      <c r="X564" s="7"/>
      <c r="Y564" s="7"/>
      <c r="Z564" s="7"/>
      <c r="AA564" s="7"/>
    </row>
    <row r="565" spans="1:27" ht="15">
      <c r="A565" s="7"/>
      <c r="B565" s="32"/>
      <c r="D565" s="93"/>
      <c r="E565" s="93"/>
      <c r="I565" s="42"/>
      <c r="J565" s="42"/>
      <c r="K565" s="42"/>
      <c r="L565" s="42"/>
      <c r="M565" s="7"/>
      <c r="N565" s="7"/>
      <c r="O565" s="35"/>
      <c r="P565" s="35"/>
      <c r="Q565" s="35"/>
      <c r="R565" s="35"/>
      <c r="S565" s="7"/>
      <c r="T565" s="7"/>
      <c r="U565" s="7"/>
      <c r="X565" s="7"/>
      <c r="Y565" s="7"/>
      <c r="Z565" s="7"/>
      <c r="AA565" s="7"/>
    </row>
    <row r="566" spans="1:27" ht="15">
      <c r="A566" s="7"/>
      <c r="B566" s="32"/>
      <c r="D566" s="93"/>
      <c r="E566" s="93"/>
      <c r="I566" s="42"/>
      <c r="J566" s="42"/>
      <c r="K566" s="42"/>
      <c r="L566" s="42"/>
      <c r="M566" s="7"/>
      <c r="N566" s="7"/>
      <c r="O566" s="35"/>
      <c r="P566" s="35"/>
      <c r="Q566" s="35"/>
      <c r="R566" s="35"/>
      <c r="S566" s="7"/>
      <c r="T566" s="7"/>
      <c r="U566" s="7"/>
      <c r="X566" s="7"/>
      <c r="Y566" s="7"/>
      <c r="Z566" s="7"/>
      <c r="AA566" s="7"/>
    </row>
    <row r="567" spans="1:27" ht="15">
      <c r="A567" s="7"/>
      <c r="B567" s="32"/>
      <c r="D567" s="93"/>
      <c r="E567" s="93"/>
      <c r="I567" s="42"/>
      <c r="J567" s="42"/>
      <c r="K567" s="42"/>
      <c r="L567" s="42"/>
      <c r="M567" s="7"/>
      <c r="N567" s="7"/>
      <c r="O567" s="35"/>
      <c r="P567" s="35"/>
      <c r="Q567" s="35"/>
      <c r="R567" s="35"/>
      <c r="S567" s="7"/>
      <c r="T567" s="7"/>
      <c r="U567" s="7"/>
      <c r="X567" s="7"/>
      <c r="Y567" s="7"/>
      <c r="Z567" s="7"/>
      <c r="AA567" s="7"/>
    </row>
    <row r="568" spans="1:27" ht="15">
      <c r="A568" s="7"/>
      <c r="B568" s="32"/>
      <c r="D568" s="93"/>
      <c r="E568" s="93"/>
      <c r="I568" s="42"/>
      <c r="J568" s="42"/>
      <c r="K568" s="42"/>
      <c r="L568" s="42"/>
      <c r="M568" s="7"/>
      <c r="N568" s="7"/>
      <c r="O568" s="35"/>
      <c r="P568" s="35"/>
      <c r="Q568" s="35"/>
      <c r="R568" s="35"/>
      <c r="S568" s="7"/>
      <c r="T568" s="7"/>
      <c r="U568" s="7"/>
      <c r="X568" s="7"/>
      <c r="Y568" s="7"/>
      <c r="Z568" s="7"/>
      <c r="AA568" s="7"/>
    </row>
    <row r="569" spans="1:27" ht="15">
      <c r="A569" s="7"/>
      <c r="B569" s="32"/>
      <c r="D569" s="93"/>
      <c r="E569" s="93"/>
      <c r="I569" s="42"/>
      <c r="J569" s="42"/>
      <c r="K569" s="42"/>
      <c r="L569" s="42"/>
      <c r="M569" s="7"/>
      <c r="N569" s="7"/>
      <c r="O569" s="35"/>
      <c r="P569" s="35"/>
      <c r="Q569" s="35"/>
      <c r="R569" s="35"/>
      <c r="S569" s="7"/>
      <c r="T569" s="7"/>
      <c r="U569" s="7"/>
      <c r="X569" s="7"/>
      <c r="Y569" s="7"/>
      <c r="Z569" s="7"/>
      <c r="AA569" s="7"/>
    </row>
    <row r="570" spans="1:27" ht="15">
      <c r="A570" s="7"/>
      <c r="B570" s="32"/>
      <c r="D570" s="93"/>
      <c r="E570" s="93"/>
      <c r="I570" s="42"/>
      <c r="J570" s="42"/>
      <c r="K570" s="42"/>
      <c r="L570" s="42"/>
      <c r="M570" s="7"/>
      <c r="N570" s="7"/>
      <c r="O570" s="35"/>
      <c r="P570" s="35"/>
      <c r="Q570" s="35"/>
      <c r="R570" s="35"/>
      <c r="S570" s="7"/>
      <c r="T570" s="7"/>
      <c r="U570" s="7"/>
      <c r="X570" s="7"/>
      <c r="Y570" s="7"/>
      <c r="Z570" s="7"/>
      <c r="AA570" s="7"/>
    </row>
    <row r="571" spans="1:27" ht="15">
      <c r="A571" s="7"/>
      <c r="B571" s="32"/>
      <c r="D571" s="93"/>
      <c r="E571" s="93"/>
      <c r="I571" s="42"/>
      <c r="J571" s="42"/>
      <c r="K571" s="42"/>
      <c r="L571" s="42"/>
      <c r="M571" s="7"/>
      <c r="N571" s="7"/>
      <c r="O571" s="35"/>
      <c r="P571" s="35"/>
      <c r="Q571" s="35"/>
      <c r="R571" s="35"/>
      <c r="S571" s="7"/>
      <c r="T571" s="7"/>
      <c r="U571" s="7"/>
      <c r="X571" s="7"/>
      <c r="Y571" s="7"/>
      <c r="Z571" s="7"/>
      <c r="AA571" s="7"/>
    </row>
    <row r="572" spans="1:27" ht="15">
      <c r="A572" s="7"/>
      <c r="B572" s="32"/>
      <c r="D572" s="93"/>
      <c r="E572" s="93"/>
      <c r="I572" s="42"/>
      <c r="J572" s="42"/>
      <c r="K572" s="42"/>
      <c r="L572" s="42"/>
      <c r="M572" s="7"/>
      <c r="N572" s="7"/>
      <c r="O572" s="35"/>
      <c r="P572" s="35"/>
      <c r="Q572" s="35"/>
      <c r="R572" s="35"/>
      <c r="S572" s="7"/>
      <c r="T572" s="7"/>
      <c r="U572" s="7"/>
      <c r="X572" s="7"/>
      <c r="Y572" s="7"/>
      <c r="Z572" s="7"/>
      <c r="AA572" s="7"/>
    </row>
    <row r="573" spans="1:27" ht="15">
      <c r="A573" s="7"/>
      <c r="B573" s="32"/>
      <c r="D573" s="93"/>
      <c r="E573" s="93"/>
      <c r="I573" s="42"/>
      <c r="J573" s="42"/>
      <c r="K573" s="42"/>
      <c r="L573" s="42"/>
      <c r="M573" s="7"/>
      <c r="N573" s="7"/>
      <c r="O573" s="35"/>
      <c r="P573" s="35"/>
      <c r="Q573" s="35"/>
      <c r="R573" s="35"/>
      <c r="S573" s="7"/>
      <c r="T573" s="7"/>
      <c r="U573" s="7"/>
      <c r="X573" s="7"/>
      <c r="Y573" s="7"/>
      <c r="Z573" s="7"/>
      <c r="AA573" s="7"/>
    </row>
    <row r="574" spans="1:27" ht="15">
      <c r="A574" s="7"/>
      <c r="B574" s="32"/>
      <c r="D574" s="93"/>
      <c r="E574" s="93"/>
      <c r="I574" s="42"/>
      <c r="J574" s="42"/>
      <c r="K574" s="42"/>
      <c r="L574" s="42"/>
      <c r="M574" s="7"/>
      <c r="N574" s="7"/>
      <c r="O574" s="35"/>
      <c r="P574" s="35"/>
      <c r="Q574" s="35"/>
      <c r="R574" s="35"/>
      <c r="S574" s="7"/>
      <c r="T574" s="7"/>
      <c r="U574" s="7"/>
      <c r="X574" s="7"/>
      <c r="Y574" s="7"/>
      <c r="Z574" s="7"/>
      <c r="AA574" s="7"/>
    </row>
    <row r="575" spans="1:27" ht="15">
      <c r="A575" s="7"/>
      <c r="B575" s="32"/>
      <c r="D575" s="93"/>
      <c r="E575" s="93"/>
      <c r="I575" s="42"/>
      <c r="J575" s="42"/>
      <c r="K575" s="42"/>
      <c r="L575" s="42"/>
      <c r="M575" s="7"/>
      <c r="N575" s="7"/>
      <c r="O575" s="35"/>
      <c r="P575" s="35"/>
      <c r="Q575" s="35"/>
      <c r="R575" s="35"/>
      <c r="S575" s="7"/>
      <c r="T575" s="7"/>
      <c r="U575" s="7"/>
      <c r="X575" s="7"/>
      <c r="Y575" s="7"/>
      <c r="Z575" s="7"/>
      <c r="AA575" s="7"/>
    </row>
    <row r="576" spans="1:27" ht="15">
      <c r="A576" s="7"/>
      <c r="B576" s="32"/>
      <c r="D576" s="93"/>
      <c r="E576" s="93"/>
      <c r="I576" s="42"/>
      <c r="J576" s="42"/>
      <c r="K576" s="42"/>
      <c r="L576" s="42"/>
      <c r="M576" s="7"/>
      <c r="N576" s="7"/>
      <c r="O576" s="35"/>
      <c r="P576" s="35"/>
      <c r="Q576" s="35"/>
      <c r="R576" s="35"/>
      <c r="S576" s="7"/>
      <c r="T576" s="7"/>
      <c r="U576" s="7"/>
      <c r="X576" s="7"/>
      <c r="Y576" s="7"/>
      <c r="Z576" s="7"/>
      <c r="AA576" s="7"/>
    </row>
    <row r="577" spans="1:27" ht="15">
      <c r="A577" s="7"/>
      <c r="B577" s="32"/>
      <c r="D577" s="93"/>
      <c r="E577" s="93"/>
      <c r="I577" s="42"/>
      <c r="J577" s="42"/>
      <c r="K577" s="42"/>
      <c r="L577" s="42"/>
      <c r="M577" s="7"/>
      <c r="N577" s="7"/>
      <c r="O577" s="35"/>
      <c r="P577" s="35"/>
      <c r="Q577" s="35"/>
      <c r="R577" s="35"/>
      <c r="S577" s="7"/>
      <c r="T577" s="7"/>
      <c r="U577" s="7"/>
      <c r="X577" s="7"/>
      <c r="Y577" s="7"/>
      <c r="Z577" s="7"/>
      <c r="AA577" s="7"/>
    </row>
    <row r="578" spans="1:27" ht="15">
      <c r="A578" s="7"/>
      <c r="B578" s="32"/>
      <c r="D578" s="93"/>
      <c r="E578" s="93"/>
      <c r="I578" s="42"/>
      <c r="J578" s="42"/>
      <c r="K578" s="42"/>
      <c r="L578" s="42"/>
      <c r="M578" s="7"/>
      <c r="N578" s="7"/>
      <c r="O578" s="35"/>
      <c r="P578" s="35"/>
      <c r="Q578" s="35"/>
      <c r="R578" s="35"/>
      <c r="S578" s="7"/>
      <c r="T578" s="7"/>
      <c r="U578" s="7"/>
      <c r="X578" s="7"/>
      <c r="Y578" s="7"/>
      <c r="Z578" s="7"/>
      <c r="AA578" s="7"/>
    </row>
    <row r="579" spans="1:27" ht="15">
      <c r="A579" s="7"/>
      <c r="B579" s="32"/>
      <c r="D579" s="93"/>
      <c r="E579" s="93"/>
      <c r="I579" s="42"/>
      <c r="J579" s="42"/>
      <c r="K579" s="42"/>
      <c r="L579" s="42"/>
      <c r="M579" s="7"/>
      <c r="N579" s="7"/>
      <c r="O579" s="35"/>
      <c r="P579" s="35"/>
      <c r="Q579" s="35"/>
      <c r="R579" s="35"/>
      <c r="S579" s="7"/>
      <c r="T579" s="7"/>
      <c r="U579" s="7"/>
      <c r="X579" s="7"/>
      <c r="Y579" s="7"/>
      <c r="Z579" s="7"/>
      <c r="AA579" s="7"/>
    </row>
    <row r="580" spans="1:27" ht="15">
      <c r="A580" s="7"/>
      <c r="B580" s="32"/>
      <c r="D580" s="93"/>
      <c r="E580" s="93"/>
      <c r="I580" s="42"/>
      <c r="J580" s="42"/>
      <c r="K580" s="42"/>
      <c r="L580" s="42"/>
      <c r="M580" s="7"/>
      <c r="N580" s="7"/>
      <c r="O580" s="35"/>
      <c r="P580" s="35"/>
      <c r="Q580" s="35"/>
      <c r="R580" s="35"/>
      <c r="S580" s="7"/>
      <c r="T580" s="7"/>
      <c r="U580" s="7"/>
      <c r="X580" s="7"/>
      <c r="Y580" s="7"/>
      <c r="Z580" s="7"/>
      <c r="AA580" s="7"/>
    </row>
    <row r="581" spans="1:27" ht="15">
      <c r="A581" s="7"/>
      <c r="B581" s="32"/>
      <c r="D581" s="93"/>
      <c r="E581" s="93"/>
      <c r="I581" s="42"/>
      <c r="J581" s="42"/>
      <c r="K581" s="42"/>
      <c r="L581" s="42"/>
      <c r="M581" s="7"/>
      <c r="N581" s="7"/>
      <c r="O581" s="35"/>
      <c r="P581" s="35"/>
      <c r="Q581" s="35"/>
      <c r="R581" s="35"/>
      <c r="S581" s="7"/>
      <c r="T581" s="7"/>
      <c r="U581" s="7"/>
      <c r="X581" s="7"/>
      <c r="Y581" s="7"/>
      <c r="Z581" s="7"/>
      <c r="AA581" s="7"/>
    </row>
    <row r="582" spans="1:27" ht="15">
      <c r="A582" s="7"/>
      <c r="B582" s="32"/>
      <c r="D582" s="93"/>
      <c r="E582" s="93"/>
      <c r="I582" s="42"/>
      <c r="J582" s="42"/>
      <c r="K582" s="42"/>
      <c r="L582" s="42"/>
      <c r="M582" s="7"/>
      <c r="N582" s="7"/>
      <c r="O582" s="35"/>
      <c r="P582" s="35"/>
      <c r="Q582" s="35"/>
      <c r="R582" s="35"/>
      <c r="S582" s="7"/>
      <c r="T582" s="7"/>
      <c r="U582" s="7"/>
      <c r="X582" s="7"/>
      <c r="Y582" s="7"/>
      <c r="Z582" s="7"/>
      <c r="AA582" s="7"/>
    </row>
    <row r="583" spans="1:27" ht="15">
      <c r="A583" s="7"/>
      <c r="B583" s="32"/>
      <c r="D583" s="93"/>
      <c r="E583" s="93"/>
      <c r="I583" s="42"/>
      <c r="J583" s="42"/>
      <c r="K583" s="42"/>
      <c r="L583" s="42"/>
      <c r="M583" s="7"/>
      <c r="N583" s="7"/>
      <c r="O583" s="35"/>
      <c r="P583" s="35"/>
      <c r="Q583" s="35"/>
      <c r="R583" s="35"/>
      <c r="S583" s="7"/>
      <c r="T583" s="7"/>
      <c r="U583" s="7"/>
      <c r="X583" s="7"/>
      <c r="Y583" s="7"/>
      <c r="Z583" s="7"/>
      <c r="AA583" s="7"/>
    </row>
    <row r="584" spans="1:27" ht="15">
      <c r="A584" s="7"/>
      <c r="B584" s="32"/>
      <c r="D584" s="93"/>
      <c r="E584" s="93"/>
      <c r="I584" s="42"/>
      <c r="J584" s="42"/>
      <c r="K584" s="42"/>
      <c r="L584" s="42"/>
      <c r="M584" s="7"/>
      <c r="N584" s="7"/>
      <c r="O584" s="35"/>
      <c r="P584" s="35"/>
      <c r="Q584" s="35"/>
      <c r="R584" s="35"/>
      <c r="S584" s="7"/>
      <c r="T584" s="7"/>
      <c r="U584" s="7"/>
      <c r="X584" s="7"/>
      <c r="Y584" s="7"/>
      <c r="Z584" s="7"/>
      <c r="AA584" s="7"/>
    </row>
    <row r="585" spans="1:27" ht="15">
      <c r="A585" s="7"/>
      <c r="B585" s="32"/>
      <c r="D585" s="93"/>
      <c r="E585" s="93"/>
      <c r="I585" s="42"/>
      <c r="J585" s="42"/>
      <c r="K585" s="42"/>
      <c r="L585" s="42"/>
      <c r="M585" s="7"/>
      <c r="N585" s="7"/>
      <c r="O585" s="35"/>
      <c r="P585" s="35"/>
      <c r="Q585" s="35"/>
      <c r="R585" s="35"/>
      <c r="S585" s="7"/>
      <c r="T585" s="7"/>
      <c r="U585" s="7"/>
      <c r="X585" s="7"/>
      <c r="Y585" s="7"/>
      <c r="Z585" s="7"/>
      <c r="AA585" s="7"/>
    </row>
    <row r="586" spans="1:27" ht="15">
      <c r="A586" s="7"/>
      <c r="B586" s="32"/>
      <c r="D586" s="93"/>
      <c r="E586" s="93"/>
      <c r="I586" s="42"/>
      <c r="J586" s="42"/>
      <c r="K586" s="42"/>
      <c r="L586" s="42"/>
      <c r="M586" s="7"/>
      <c r="N586" s="7"/>
      <c r="O586" s="35"/>
      <c r="P586" s="35"/>
      <c r="Q586" s="35"/>
      <c r="R586" s="35"/>
      <c r="S586" s="7"/>
      <c r="T586" s="7"/>
      <c r="U586" s="7"/>
      <c r="X586" s="7"/>
      <c r="Y586" s="7"/>
      <c r="Z586" s="7"/>
      <c r="AA586" s="7"/>
    </row>
    <row r="587" spans="1:27" ht="15">
      <c r="A587" s="7"/>
      <c r="B587" s="32"/>
      <c r="D587" s="93"/>
      <c r="E587" s="93"/>
      <c r="I587" s="42"/>
      <c r="J587" s="42"/>
      <c r="K587" s="42"/>
      <c r="L587" s="42"/>
      <c r="M587" s="7"/>
      <c r="N587" s="7"/>
      <c r="O587" s="35"/>
      <c r="P587" s="35"/>
      <c r="Q587" s="35"/>
      <c r="R587" s="35"/>
      <c r="S587" s="7"/>
      <c r="T587" s="7"/>
      <c r="U587" s="7"/>
      <c r="X587" s="7"/>
      <c r="Y587" s="7"/>
      <c r="Z587" s="7"/>
      <c r="AA587" s="7"/>
    </row>
    <row r="588" spans="1:27" ht="15">
      <c r="A588" s="7"/>
      <c r="B588" s="32"/>
      <c r="D588" s="93"/>
      <c r="E588" s="93"/>
      <c r="I588" s="42"/>
      <c r="J588" s="42"/>
      <c r="K588" s="42"/>
      <c r="L588" s="42"/>
      <c r="M588" s="7"/>
      <c r="N588" s="7"/>
      <c r="O588" s="35"/>
      <c r="P588" s="35"/>
      <c r="Q588" s="35"/>
      <c r="R588" s="35"/>
      <c r="S588" s="7"/>
      <c r="T588" s="7"/>
      <c r="U588" s="7"/>
      <c r="X588" s="7"/>
      <c r="Y588" s="7"/>
      <c r="Z588" s="7"/>
      <c r="AA588" s="7"/>
    </row>
    <row r="589" spans="1:27" ht="15">
      <c r="A589" s="7"/>
      <c r="B589" s="32"/>
      <c r="D589" s="93"/>
      <c r="E589" s="93"/>
      <c r="I589" s="42"/>
      <c r="J589" s="42"/>
      <c r="K589" s="42"/>
      <c r="L589" s="42"/>
      <c r="M589" s="7"/>
      <c r="N589" s="7"/>
      <c r="O589" s="35"/>
      <c r="P589" s="35"/>
      <c r="Q589" s="35"/>
      <c r="R589" s="35"/>
      <c r="S589" s="7"/>
      <c r="T589" s="7"/>
      <c r="U589" s="7"/>
      <c r="X589" s="7"/>
      <c r="Y589" s="7"/>
      <c r="Z589" s="7"/>
      <c r="AA589" s="7"/>
    </row>
    <row r="590" spans="1:27" ht="15">
      <c r="A590" s="7"/>
      <c r="B590" s="32"/>
      <c r="D590" s="93"/>
      <c r="E590" s="93"/>
      <c r="I590" s="42"/>
      <c r="J590" s="42"/>
      <c r="K590" s="42"/>
      <c r="L590" s="42"/>
      <c r="M590" s="7"/>
      <c r="N590" s="7"/>
      <c r="O590" s="35"/>
      <c r="P590" s="35"/>
      <c r="Q590" s="35"/>
      <c r="R590" s="35"/>
      <c r="S590" s="7"/>
      <c r="T590" s="7"/>
      <c r="U590" s="7"/>
      <c r="X590" s="7"/>
      <c r="Y590" s="7"/>
      <c r="Z590" s="7"/>
      <c r="AA590" s="7"/>
    </row>
    <row r="591" spans="1:27" ht="15">
      <c r="A591" s="7"/>
      <c r="B591" s="32"/>
      <c r="D591" s="93"/>
      <c r="E591" s="93"/>
      <c r="I591" s="42"/>
      <c r="J591" s="42"/>
      <c r="K591" s="42"/>
      <c r="L591" s="42"/>
      <c r="M591" s="7"/>
      <c r="N591" s="7"/>
      <c r="O591" s="35"/>
      <c r="P591" s="35"/>
      <c r="Q591" s="35"/>
      <c r="R591" s="35"/>
      <c r="S591" s="7"/>
      <c r="T591" s="7"/>
      <c r="U591" s="7"/>
      <c r="X591" s="7"/>
      <c r="Y591" s="7"/>
      <c r="Z591" s="7"/>
      <c r="AA591" s="7"/>
    </row>
    <row r="592" spans="1:27" ht="15">
      <c r="A592" s="7"/>
      <c r="B592" s="32"/>
      <c r="D592" s="93"/>
      <c r="E592" s="93"/>
      <c r="I592" s="42"/>
      <c r="J592" s="42"/>
      <c r="K592" s="42"/>
      <c r="L592" s="42"/>
      <c r="M592" s="7"/>
      <c r="N592" s="7"/>
      <c r="O592" s="35"/>
      <c r="P592" s="35"/>
      <c r="Q592" s="35"/>
      <c r="R592" s="35"/>
      <c r="S592" s="7"/>
      <c r="T592" s="7"/>
      <c r="U592" s="7"/>
      <c r="X592" s="7"/>
      <c r="Y592" s="7"/>
      <c r="Z592" s="7"/>
      <c r="AA592" s="7"/>
    </row>
    <row r="593" spans="1:27" ht="15">
      <c r="A593" s="7"/>
      <c r="B593" s="32"/>
      <c r="D593" s="93"/>
      <c r="E593" s="93"/>
      <c r="I593" s="42"/>
      <c r="J593" s="42"/>
      <c r="K593" s="42"/>
      <c r="L593" s="42"/>
      <c r="M593" s="7"/>
      <c r="N593" s="7"/>
      <c r="O593" s="35"/>
      <c r="P593" s="35"/>
      <c r="Q593" s="35"/>
      <c r="R593" s="35"/>
      <c r="S593" s="7"/>
      <c r="T593" s="7"/>
      <c r="U593" s="7"/>
      <c r="X593" s="7"/>
      <c r="Y593" s="7"/>
      <c r="Z593" s="7"/>
      <c r="AA593" s="7"/>
    </row>
    <row r="594" spans="1:27" ht="15">
      <c r="A594" s="7"/>
      <c r="B594" s="32"/>
      <c r="D594" s="93"/>
      <c r="E594" s="93"/>
      <c r="I594" s="42"/>
      <c r="J594" s="42"/>
      <c r="K594" s="42"/>
      <c r="L594" s="42"/>
      <c r="M594" s="7"/>
      <c r="N594" s="7"/>
      <c r="O594" s="35"/>
      <c r="P594" s="35"/>
      <c r="Q594" s="35"/>
      <c r="R594" s="35"/>
      <c r="S594" s="7"/>
      <c r="T594" s="7"/>
      <c r="U594" s="7"/>
      <c r="X594" s="7"/>
      <c r="Y594" s="7"/>
      <c r="Z594" s="7"/>
      <c r="AA594" s="7"/>
    </row>
    <row r="595" spans="1:27" ht="15">
      <c r="A595" s="7"/>
      <c r="B595" s="32"/>
      <c r="D595" s="93"/>
      <c r="E595" s="93"/>
      <c r="I595" s="42"/>
      <c r="J595" s="42"/>
      <c r="K595" s="42"/>
      <c r="L595" s="42"/>
      <c r="M595" s="7"/>
      <c r="N595" s="7"/>
      <c r="O595" s="35"/>
      <c r="P595" s="35"/>
      <c r="Q595" s="35"/>
      <c r="R595" s="35"/>
      <c r="S595" s="7"/>
      <c r="T595" s="7"/>
      <c r="U595" s="7"/>
      <c r="X595" s="7"/>
      <c r="Y595" s="7"/>
      <c r="Z595" s="7"/>
      <c r="AA595" s="7"/>
    </row>
    <row r="596" spans="1:27" ht="15">
      <c r="A596" s="7"/>
      <c r="B596" s="32"/>
      <c r="D596" s="93"/>
      <c r="E596" s="93"/>
      <c r="I596" s="42"/>
      <c r="J596" s="42"/>
      <c r="K596" s="42"/>
      <c r="L596" s="42"/>
      <c r="M596" s="7"/>
      <c r="N596" s="7"/>
      <c r="O596" s="35"/>
      <c r="P596" s="35"/>
      <c r="Q596" s="35"/>
      <c r="R596" s="35"/>
      <c r="S596" s="7"/>
      <c r="T596" s="7"/>
      <c r="U596" s="7"/>
      <c r="X596" s="7"/>
      <c r="Y596" s="7"/>
      <c r="Z596" s="7"/>
      <c r="AA596" s="7"/>
    </row>
    <row r="597" spans="1:27" ht="15">
      <c r="A597" s="7"/>
      <c r="B597" s="32"/>
      <c r="D597" s="93"/>
      <c r="E597" s="93"/>
      <c r="I597" s="42"/>
      <c r="J597" s="42"/>
      <c r="K597" s="42"/>
      <c r="L597" s="42"/>
      <c r="M597" s="7"/>
      <c r="N597" s="7"/>
      <c r="O597" s="35"/>
      <c r="P597" s="35"/>
      <c r="Q597" s="35"/>
      <c r="R597" s="35"/>
      <c r="S597" s="7"/>
      <c r="T597" s="7"/>
      <c r="U597" s="7"/>
      <c r="X597" s="7"/>
      <c r="Y597" s="7"/>
      <c r="Z597" s="7"/>
      <c r="AA597" s="7"/>
    </row>
    <row r="598" spans="1:27" ht="15">
      <c r="A598" s="7"/>
      <c r="B598" s="32"/>
      <c r="D598" s="93"/>
      <c r="E598" s="93"/>
      <c r="I598" s="42"/>
      <c r="J598" s="42"/>
      <c r="K598" s="42"/>
      <c r="L598" s="42"/>
      <c r="M598" s="7"/>
      <c r="N598" s="7"/>
      <c r="O598" s="35"/>
      <c r="P598" s="35"/>
      <c r="Q598" s="35"/>
      <c r="R598" s="35"/>
      <c r="S598" s="7"/>
      <c r="T598" s="7"/>
      <c r="U598" s="7"/>
      <c r="X598" s="7"/>
      <c r="Y598" s="7"/>
      <c r="Z598" s="7"/>
      <c r="AA598" s="7"/>
    </row>
    <row r="599" spans="1:27" ht="15">
      <c r="A599" s="7"/>
      <c r="B599" s="32"/>
      <c r="D599" s="93"/>
      <c r="E599" s="93"/>
      <c r="I599" s="42"/>
      <c r="J599" s="42"/>
      <c r="K599" s="42"/>
      <c r="L599" s="42"/>
      <c r="M599" s="7"/>
      <c r="N599" s="7"/>
      <c r="O599" s="35"/>
      <c r="P599" s="35"/>
      <c r="Q599" s="35"/>
      <c r="R599" s="35"/>
      <c r="S599" s="7"/>
      <c r="T599" s="7"/>
      <c r="U599" s="7"/>
      <c r="X599" s="7"/>
      <c r="Y599" s="7"/>
      <c r="Z599" s="7"/>
      <c r="AA599" s="7"/>
    </row>
    <row r="600" spans="1:27" ht="15">
      <c r="A600" s="7"/>
      <c r="B600" s="32"/>
      <c r="D600" s="93"/>
      <c r="E600" s="93"/>
      <c r="I600" s="42"/>
      <c r="J600" s="42"/>
      <c r="K600" s="42"/>
      <c r="L600" s="42"/>
      <c r="M600" s="7"/>
      <c r="N600" s="7"/>
      <c r="O600" s="35"/>
      <c r="P600" s="35"/>
      <c r="Q600" s="35"/>
      <c r="R600" s="35"/>
      <c r="S600" s="7"/>
      <c r="T600" s="7"/>
      <c r="U600" s="7"/>
      <c r="X600" s="7"/>
      <c r="Y600" s="7"/>
      <c r="Z600" s="7"/>
      <c r="AA600" s="7"/>
    </row>
    <row r="601" spans="1:27" ht="15">
      <c r="A601" s="7"/>
      <c r="B601" s="32"/>
      <c r="D601" s="93"/>
      <c r="E601" s="93"/>
      <c r="I601" s="42"/>
      <c r="J601" s="42"/>
      <c r="K601" s="42"/>
      <c r="L601" s="42"/>
      <c r="M601" s="7"/>
      <c r="N601" s="7"/>
      <c r="O601" s="35"/>
      <c r="P601" s="35"/>
      <c r="Q601" s="35"/>
      <c r="R601" s="35"/>
      <c r="S601" s="7"/>
      <c r="T601" s="7"/>
      <c r="U601" s="7"/>
      <c r="X601" s="7"/>
      <c r="Y601" s="7"/>
      <c r="Z601" s="7"/>
      <c r="AA601" s="7"/>
    </row>
    <row r="602" spans="1:27" ht="15">
      <c r="A602" s="7"/>
      <c r="B602" s="32"/>
      <c r="D602" s="93"/>
      <c r="E602" s="93"/>
      <c r="I602" s="42"/>
      <c r="J602" s="42"/>
      <c r="K602" s="42"/>
      <c r="L602" s="42"/>
      <c r="M602" s="7"/>
      <c r="N602" s="7"/>
      <c r="O602" s="35"/>
      <c r="P602" s="35"/>
      <c r="Q602" s="35"/>
      <c r="R602" s="35"/>
      <c r="S602" s="7"/>
      <c r="T602" s="7"/>
      <c r="U602" s="7"/>
      <c r="X602" s="7"/>
      <c r="Y602" s="7"/>
      <c r="Z602" s="7"/>
      <c r="AA602" s="7"/>
    </row>
    <row r="603" spans="1:27" ht="15">
      <c r="A603" s="7"/>
      <c r="B603" s="32"/>
      <c r="D603" s="93"/>
      <c r="E603" s="93"/>
      <c r="I603" s="42"/>
      <c r="J603" s="42"/>
      <c r="K603" s="42"/>
      <c r="L603" s="42"/>
      <c r="M603" s="7"/>
      <c r="N603" s="7"/>
      <c r="O603" s="35"/>
      <c r="P603" s="35"/>
      <c r="Q603" s="35"/>
      <c r="R603" s="35"/>
      <c r="S603" s="7"/>
      <c r="T603" s="7"/>
      <c r="U603" s="7"/>
      <c r="X603" s="7"/>
      <c r="Y603" s="7"/>
      <c r="Z603" s="7"/>
      <c r="AA603" s="7"/>
    </row>
    <row r="604" spans="1:27" ht="15">
      <c r="A604" s="7"/>
      <c r="B604" s="32"/>
      <c r="D604" s="93"/>
      <c r="E604" s="93"/>
      <c r="I604" s="42"/>
      <c r="J604" s="42"/>
      <c r="K604" s="42"/>
      <c r="L604" s="42"/>
      <c r="M604" s="7"/>
      <c r="N604" s="7"/>
      <c r="O604" s="35"/>
      <c r="P604" s="35"/>
      <c r="Q604" s="35"/>
      <c r="R604" s="35"/>
      <c r="S604" s="7"/>
      <c r="T604" s="7"/>
      <c r="U604" s="7"/>
      <c r="X604" s="7"/>
      <c r="Y604" s="7"/>
      <c r="Z604" s="7"/>
      <c r="AA604" s="7"/>
    </row>
    <row r="605" spans="1:27" ht="15">
      <c r="A605" s="7"/>
      <c r="B605" s="32"/>
      <c r="D605" s="93"/>
      <c r="E605" s="93"/>
      <c r="I605" s="42"/>
      <c r="J605" s="42"/>
      <c r="K605" s="42"/>
      <c r="L605" s="42"/>
      <c r="M605" s="7"/>
      <c r="N605" s="7"/>
      <c r="O605" s="35"/>
      <c r="P605" s="35"/>
      <c r="Q605" s="35"/>
      <c r="R605" s="35"/>
      <c r="S605" s="7"/>
      <c r="T605" s="7"/>
      <c r="U605" s="7"/>
      <c r="X605" s="7"/>
      <c r="Y605" s="7"/>
      <c r="Z605" s="7"/>
      <c r="AA605" s="7"/>
    </row>
    <row r="606" spans="1:27" ht="15">
      <c r="A606" s="7"/>
      <c r="B606" s="32"/>
      <c r="D606" s="93"/>
      <c r="E606" s="93"/>
      <c r="I606" s="42"/>
      <c r="J606" s="42"/>
      <c r="K606" s="42"/>
      <c r="L606" s="42"/>
      <c r="M606" s="7"/>
      <c r="N606" s="7"/>
      <c r="O606" s="35"/>
      <c r="P606" s="35"/>
      <c r="Q606" s="35"/>
      <c r="R606" s="35"/>
      <c r="S606" s="7"/>
      <c r="T606" s="7"/>
      <c r="U606" s="7"/>
      <c r="X606" s="7"/>
      <c r="Y606" s="7"/>
      <c r="Z606" s="7"/>
      <c r="AA606" s="7"/>
    </row>
    <row r="607" spans="1:27" ht="15">
      <c r="A607" s="7"/>
      <c r="B607" s="32"/>
      <c r="D607" s="93"/>
      <c r="E607" s="93"/>
      <c r="I607" s="42"/>
      <c r="J607" s="42"/>
      <c r="K607" s="42"/>
      <c r="L607" s="42"/>
      <c r="M607" s="7"/>
      <c r="N607" s="7"/>
      <c r="O607" s="35"/>
      <c r="P607" s="35"/>
      <c r="Q607" s="35"/>
      <c r="R607" s="35"/>
      <c r="S607" s="7"/>
      <c r="T607" s="7"/>
      <c r="U607" s="7"/>
      <c r="X607" s="7"/>
      <c r="Y607" s="7"/>
      <c r="Z607" s="7"/>
      <c r="AA607" s="7"/>
    </row>
    <row r="608" spans="1:27" ht="15">
      <c r="A608" s="7"/>
      <c r="B608" s="32"/>
      <c r="D608" s="93"/>
      <c r="E608" s="93"/>
      <c r="I608" s="42"/>
      <c r="J608" s="42"/>
      <c r="K608" s="42"/>
      <c r="L608" s="42"/>
      <c r="M608" s="7"/>
      <c r="N608" s="7"/>
      <c r="O608" s="35"/>
      <c r="P608" s="35"/>
      <c r="Q608" s="35"/>
      <c r="R608" s="35"/>
      <c r="S608" s="7"/>
      <c r="T608" s="7"/>
      <c r="U608" s="7"/>
      <c r="X608" s="7"/>
      <c r="Y608" s="7"/>
      <c r="Z608" s="7"/>
      <c r="AA608" s="7"/>
    </row>
    <row r="609" spans="1:27" ht="15">
      <c r="A609" s="7"/>
      <c r="B609" s="32"/>
      <c r="D609" s="93"/>
      <c r="E609" s="93"/>
      <c r="I609" s="42"/>
      <c r="J609" s="42"/>
      <c r="K609" s="42"/>
      <c r="L609" s="42"/>
      <c r="M609" s="7"/>
      <c r="N609" s="7"/>
      <c r="O609" s="35"/>
      <c r="P609" s="35"/>
      <c r="Q609" s="35"/>
      <c r="R609" s="35"/>
      <c r="S609" s="7"/>
      <c r="T609" s="7"/>
      <c r="U609" s="7"/>
      <c r="X609" s="7"/>
      <c r="Y609" s="7"/>
      <c r="Z609" s="7"/>
      <c r="AA609" s="7"/>
    </row>
    <row r="610" spans="1:27" ht="15">
      <c r="A610" s="7"/>
      <c r="B610" s="32"/>
      <c r="D610" s="93"/>
      <c r="E610" s="93"/>
      <c r="I610" s="42"/>
      <c r="J610" s="42"/>
      <c r="K610" s="42"/>
      <c r="L610" s="42"/>
      <c r="M610" s="7"/>
      <c r="N610" s="7"/>
      <c r="O610" s="35"/>
      <c r="P610" s="35"/>
      <c r="Q610" s="35"/>
      <c r="R610" s="35"/>
      <c r="S610" s="7"/>
      <c r="T610" s="7"/>
      <c r="U610" s="7"/>
      <c r="X610" s="7"/>
      <c r="Y610" s="7"/>
      <c r="Z610" s="7"/>
      <c r="AA610" s="7"/>
    </row>
    <row r="611" spans="1:27" ht="15">
      <c r="A611" s="7"/>
      <c r="B611" s="32"/>
      <c r="D611" s="93"/>
      <c r="E611" s="93"/>
      <c r="I611" s="42"/>
      <c r="J611" s="42"/>
      <c r="K611" s="42"/>
      <c r="L611" s="42"/>
      <c r="M611" s="7"/>
      <c r="N611" s="7"/>
      <c r="O611" s="35"/>
      <c r="P611" s="35"/>
      <c r="Q611" s="35"/>
      <c r="R611" s="35"/>
      <c r="S611" s="7"/>
      <c r="T611" s="7"/>
      <c r="U611" s="7"/>
      <c r="X611" s="7"/>
      <c r="Y611" s="7"/>
      <c r="Z611" s="7"/>
      <c r="AA611" s="7"/>
    </row>
    <row r="612" spans="1:27" ht="15">
      <c r="A612" s="7"/>
      <c r="B612" s="32"/>
      <c r="D612" s="93"/>
      <c r="E612" s="93"/>
      <c r="I612" s="42"/>
      <c r="J612" s="42"/>
      <c r="K612" s="42"/>
      <c r="L612" s="42"/>
      <c r="M612" s="7"/>
      <c r="N612" s="7"/>
      <c r="O612" s="35"/>
      <c r="P612" s="35"/>
      <c r="Q612" s="35"/>
      <c r="R612" s="35"/>
      <c r="S612" s="7"/>
      <c r="T612" s="7"/>
      <c r="U612" s="7"/>
      <c r="X612" s="7"/>
      <c r="Y612" s="7"/>
      <c r="Z612" s="7"/>
      <c r="AA612" s="7"/>
    </row>
    <row r="613" spans="1:27" ht="15">
      <c r="A613" s="7"/>
      <c r="B613" s="32"/>
      <c r="D613" s="93"/>
      <c r="E613" s="93"/>
      <c r="I613" s="42"/>
      <c r="J613" s="42"/>
      <c r="K613" s="42"/>
      <c r="L613" s="42"/>
      <c r="M613" s="7"/>
      <c r="N613" s="7"/>
      <c r="O613" s="35"/>
      <c r="P613" s="35"/>
      <c r="Q613" s="35"/>
      <c r="R613" s="35"/>
      <c r="S613" s="7"/>
      <c r="T613" s="7"/>
      <c r="U613" s="7"/>
      <c r="X613" s="7"/>
      <c r="Y613" s="7"/>
      <c r="Z613" s="7"/>
      <c r="AA613" s="7"/>
    </row>
    <row r="614" spans="1:27" ht="15">
      <c r="A614" s="7"/>
      <c r="B614" s="32"/>
      <c r="D614" s="93"/>
      <c r="E614" s="93"/>
      <c r="I614" s="42"/>
      <c r="J614" s="42"/>
      <c r="K614" s="42"/>
      <c r="L614" s="42"/>
      <c r="M614" s="7"/>
      <c r="N614" s="7"/>
      <c r="O614" s="35"/>
      <c r="P614" s="35"/>
      <c r="Q614" s="35"/>
      <c r="R614" s="35"/>
      <c r="S614" s="7"/>
      <c r="T614" s="7"/>
      <c r="U614" s="7"/>
      <c r="X614" s="7"/>
      <c r="Y614" s="7"/>
      <c r="Z614" s="7"/>
      <c r="AA614" s="7"/>
    </row>
    <row r="615" spans="1:27" ht="15">
      <c r="A615" s="7"/>
      <c r="B615" s="32"/>
      <c r="D615" s="93"/>
      <c r="E615" s="93"/>
      <c r="I615" s="42"/>
      <c r="J615" s="42"/>
      <c r="K615" s="42"/>
      <c r="L615" s="42"/>
      <c r="M615" s="7"/>
      <c r="N615" s="7"/>
      <c r="O615" s="35"/>
      <c r="P615" s="35"/>
      <c r="Q615" s="35"/>
      <c r="R615" s="35"/>
      <c r="S615" s="7"/>
      <c r="T615" s="7"/>
      <c r="U615" s="7"/>
      <c r="X615" s="7"/>
      <c r="Y615" s="7"/>
      <c r="Z615" s="7"/>
      <c r="AA615" s="7"/>
    </row>
    <row r="616" spans="1:27" ht="15">
      <c r="A616" s="7"/>
      <c r="B616" s="32"/>
      <c r="D616" s="93"/>
      <c r="E616" s="93"/>
      <c r="I616" s="42"/>
      <c r="J616" s="42"/>
      <c r="K616" s="42"/>
      <c r="L616" s="42"/>
      <c r="M616" s="7"/>
      <c r="N616" s="7"/>
      <c r="O616" s="35"/>
      <c r="P616" s="35"/>
      <c r="Q616" s="35"/>
      <c r="R616" s="35"/>
      <c r="S616" s="7"/>
      <c r="T616" s="7"/>
      <c r="U616" s="7"/>
      <c r="X616" s="7"/>
      <c r="Y616" s="7"/>
      <c r="Z616" s="7"/>
      <c r="AA616" s="7"/>
    </row>
    <row r="617" spans="1:27" ht="15">
      <c r="A617" s="7"/>
      <c r="B617" s="32"/>
      <c r="D617" s="93"/>
      <c r="E617" s="93"/>
      <c r="I617" s="42"/>
      <c r="J617" s="42"/>
      <c r="K617" s="42"/>
      <c r="L617" s="42"/>
      <c r="M617" s="7"/>
      <c r="N617" s="7"/>
      <c r="O617" s="35"/>
      <c r="P617" s="35"/>
      <c r="Q617" s="35"/>
      <c r="R617" s="35"/>
      <c r="S617" s="7"/>
      <c r="T617" s="7"/>
      <c r="U617" s="7"/>
      <c r="X617" s="7"/>
      <c r="Y617" s="7"/>
      <c r="Z617" s="7"/>
      <c r="AA617" s="7"/>
    </row>
    <row r="618" spans="1:27" ht="15">
      <c r="A618" s="7"/>
      <c r="B618" s="32"/>
      <c r="D618" s="93"/>
      <c r="E618" s="93"/>
      <c r="I618" s="42"/>
      <c r="J618" s="42"/>
      <c r="K618" s="42"/>
      <c r="L618" s="42"/>
      <c r="M618" s="7"/>
      <c r="N618" s="7"/>
      <c r="O618" s="35"/>
      <c r="P618" s="35"/>
      <c r="Q618" s="35"/>
      <c r="R618" s="35"/>
      <c r="S618" s="7"/>
      <c r="T618" s="7"/>
      <c r="U618" s="7"/>
      <c r="X618" s="7"/>
      <c r="Y618" s="7"/>
      <c r="Z618" s="7"/>
      <c r="AA618" s="7"/>
    </row>
    <row r="619" spans="1:27" ht="15">
      <c r="A619" s="7"/>
      <c r="B619" s="32"/>
      <c r="D619" s="93"/>
      <c r="E619" s="93"/>
      <c r="I619" s="42"/>
      <c r="J619" s="42"/>
      <c r="K619" s="42"/>
      <c r="L619" s="42"/>
      <c r="M619" s="7"/>
      <c r="N619" s="7"/>
      <c r="O619" s="35"/>
      <c r="P619" s="35"/>
      <c r="Q619" s="35"/>
      <c r="R619" s="35"/>
      <c r="S619" s="7"/>
      <c r="T619" s="7"/>
      <c r="U619" s="7"/>
      <c r="X619" s="7"/>
      <c r="Y619" s="7"/>
      <c r="Z619" s="7"/>
      <c r="AA619" s="7"/>
    </row>
    <row r="620" spans="1:27" ht="15">
      <c r="A620" s="7"/>
      <c r="B620" s="32"/>
      <c r="D620" s="93"/>
      <c r="E620" s="93"/>
      <c r="I620" s="42"/>
      <c r="J620" s="42"/>
      <c r="K620" s="42"/>
      <c r="L620" s="42"/>
      <c r="M620" s="7"/>
      <c r="N620" s="7"/>
      <c r="O620" s="35"/>
      <c r="P620" s="35"/>
      <c r="Q620" s="35"/>
      <c r="R620" s="35"/>
      <c r="S620" s="7"/>
      <c r="T620" s="7"/>
      <c r="U620" s="7"/>
      <c r="X620" s="7"/>
      <c r="Y620" s="7"/>
      <c r="Z620" s="7"/>
      <c r="AA620" s="7"/>
    </row>
    <row r="621" spans="1:27" ht="15">
      <c r="A621" s="7"/>
      <c r="B621" s="32"/>
      <c r="D621" s="93"/>
      <c r="E621" s="93"/>
      <c r="I621" s="42"/>
      <c r="J621" s="42"/>
      <c r="K621" s="42"/>
      <c r="L621" s="42"/>
      <c r="M621" s="7"/>
      <c r="N621" s="7"/>
      <c r="O621" s="35"/>
      <c r="P621" s="35"/>
      <c r="Q621" s="35"/>
      <c r="R621" s="35"/>
      <c r="S621" s="7"/>
      <c r="T621" s="7"/>
      <c r="U621" s="7"/>
      <c r="X621" s="7"/>
      <c r="Y621" s="7"/>
      <c r="Z621" s="7"/>
      <c r="AA621" s="7"/>
    </row>
    <row r="622" spans="1:27" ht="15">
      <c r="A622" s="7"/>
      <c r="B622" s="32"/>
      <c r="D622" s="93"/>
      <c r="E622" s="93"/>
      <c r="I622" s="42"/>
      <c r="J622" s="42"/>
      <c r="K622" s="42"/>
      <c r="L622" s="42"/>
      <c r="M622" s="7"/>
      <c r="N622" s="7"/>
      <c r="O622" s="35"/>
      <c r="P622" s="35"/>
      <c r="Q622" s="35"/>
      <c r="R622" s="35"/>
      <c r="S622" s="7"/>
      <c r="T622" s="7"/>
      <c r="U622" s="7"/>
      <c r="X622" s="7"/>
      <c r="Y622" s="7"/>
      <c r="Z622" s="7"/>
      <c r="AA622" s="7"/>
    </row>
    <row r="623" spans="1:27" ht="15">
      <c r="A623" s="7"/>
      <c r="B623" s="32"/>
      <c r="D623" s="93"/>
      <c r="E623" s="93"/>
      <c r="I623" s="42"/>
      <c r="J623" s="42"/>
      <c r="K623" s="42"/>
      <c r="L623" s="42"/>
      <c r="M623" s="7"/>
      <c r="N623" s="7"/>
      <c r="O623" s="35"/>
      <c r="P623" s="35"/>
      <c r="Q623" s="35"/>
      <c r="R623" s="35"/>
      <c r="S623" s="7"/>
      <c r="T623" s="7"/>
      <c r="U623" s="7"/>
      <c r="X623" s="7"/>
      <c r="Y623" s="7"/>
      <c r="Z623" s="7"/>
      <c r="AA623" s="7"/>
    </row>
    <row r="624" spans="1:27" ht="15">
      <c r="A624" s="7"/>
      <c r="B624" s="32"/>
      <c r="D624" s="93"/>
      <c r="E624" s="93"/>
      <c r="I624" s="42"/>
      <c r="J624" s="42"/>
      <c r="K624" s="42"/>
      <c r="L624" s="42"/>
      <c r="M624" s="7"/>
      <c r="N624" s="7"/>
      <c r="O624" s="35"/>
      <c r="P624" s="35"/>
      <c r="Q624" s="35"/>
      <c r="R624" s="35"/>
      <c r="S624" s="7"/>
      <c r="T624" s="7"/>
      <c r="U624" s="7"/>
      <c r="X624" s="7"/>
      <c r="Y624" s="7"/>
      <c r="Z624" s="7"/>
      <c r="AA624" s="7"/>
    </row>
    <row r="625" spans="1:27" ht="15">
      <c r="A625" s="7"/>
      <c r="B625" s="32"/>
      <c r="D625" s="93"/>
      <c r="E625" s="93"/>
      <c r="I625" s="42"/>
      <c r="J625" s="42"/>
      <c r="K625" s="42"/>
      <c r="L625" s="42"/>
      <c r="M625" s="7"/>
      <c r="N625" s="7"/>
      <c r="O625" s="35"/>
      <c r="P625" s="35"/>
      <c r="Q625" s="35"/>
      <c r="R625" s="35"/>
      <c r="S625" s="7"/>
      <c r="T625" s="7"/>
      <c r="U625" s="7"/>
      <c r="X625" s="7"/>
      <c r="Y625" s="7"/>
      <c r="Z625" s="7"/>
      <c r="AA625" s="7"/>
    </row>
    <row r="626" spans="1:27" ht="15">
      <c r="A626" s="7"/>
      <c r="B626" s="32"/>
      <c r="D626" s="93"/>
      <c r="E626" s="93"/>
      <c r="I626" s="42"/>
      <c r="J626" s="42"/>
      <c r="K626" s="42"/>
      <c r="L626" s="42"/>
      <c r="M626" s="7"/>
      <c r="N626" s="7"/>
      <c r="O626" s="35"/>
      <c r="P626" s="35"/>
      <c r="Q626" s="35"/>
      <c r="R626" s="35"/>
      <c r="S626" s="7"/>
      <c r="T626" s="7"/>
      <c r="U626" s="7"/>
      <c r="X626" s="7"/>
      <c r="Y626" s="7"/>
      <c r="Z626" s="7"/>
      <c r="AA626" s="7"/>
    </row>
    <row r="627" spans="1:27" ht="15">
      <c r="A627" s="7"/>
      <c r="B627" s="32"/>
      <c r="D627" s="93"/>
      <c r="E627" s="93"/>
      <c r="I627" s="42"/>
      <c r="J627" s="42"/>
      <c r="K627" s="42"/>
      <c r="L627" s="42"/>
      <c r="M627" s="7"/>
      <c r="N627" s="7"/>
      <c r="O627" s="35"/>
      <c r="P627" s="35"/>
      <c r="Q627" s="35"/>
      <c r="R627" s="35"/>
      <c r="S627" s="7"/>
      <c r="T627" s="7"/>
      <c r="U627" s="7"/>
      <c r="X627" s="7"/>
      <c r="Y627" s="7"/>
      <c r="Z627" s="7"/>
      <c r="AA627" s="7"/>
    </row>
    <row r="628" spans="1:27" ht="15">
      <c r="A628" s="7"/>
      <c r="B628" s="32"/>
      <c r="D628" s="93"/>
      <c r="E628" s="93"/>
      <c r="I628" s="42"/>
      <c r="J628" s="42"/>
      <c r="K628" s="42"/>
      <c r="L628" s="42"/>
      <c r="M628" s="7"/>
      <c r="N628" s="7"/>
      <c r="O628" s="35"/>
      <c r="P628" s="35"/>
      <c r="Q628" s="35"/>
      <c r="R628" s="35"/>
      <c r="S628" s="7"/>
      <c r="T628" s="7"/>
      <c r="U628" s="7"/>
      <c r="X628" s="7"/>
      <c r="Y628" s="7"/>
      <c r="Z628" s="7"/>
      <c r="AA628" s="7"/>
    </row>
    <row r="629" spans="1:27" ht="15">
      <c r="A629" s="7"/>
      <c r="B629" s="32"/>
      <c r="D629" s="93"/>
      <c r="E629" s="93"/>
      <c r="I629" s="42"/>
      <c r="J629" s="42"/>
      <c r="K629" s="42"/>
      <c r="L629" s="42"/>
      <c r="M629" s="7"/>
      <c r="N629" s="7"/>
      <c r="O629" s="35"/>
      <c r="P629" s="35"/>
      <c r="Q629" s="35"/>
      <c r="R629" s="35"/>
      <c r="S629" s="7"/>
      <c r="T629" s="7"/>
      <c r="U629" s="7"/>
      <c r="X629" s="7"/>
      <c r="Y629" s="7"/>
      <c r="Z629" s="7"/>
      <c r="AA629" s="7"/>
    </row>
    <row r="630" spans="1:27" ht="15">
      <c r="A630" s="7"/>
      <c r="B630" s="32"/>
      <c r="D630" s="93"/>
      <c r="E630" s="93"/>
      <c r="I630" s="42"/>
      <c r="J630" s="42"/>
      <c r="K630" s="42"/>
      <c r="L630" s="42"/>
      <c r="M630" s="7"/>
      <c r="N630" s="7"/>
      <c r="O630" s="35"/>
      <c r="P630" s="35"/>
      <c r="Q630" s="35"/>
      <c r="R630" s="35"/>
      <c r="S630" s="7"/>
      <c r="T630" s="7"/>
      <c r="U630" s="7"/>
      <c r="X630" s="7"/>
      <c r="Y630" s="7"/>
      <c r="Z630" s="7"/>
      <c r="AA630" s="7"/>
    </row>
    <row r="631" spans="1:27" ht="15">
      <c r="A631" s="7"/>
      <c r="B631" s="32"/>
      <c r="D631" s="93"/>
      <c r="E631" s="93"/>
      <c r="I631" s="42"/>
      <c r="J631" s="42"/>
      <c r="K631" s="42"/>
      <c r="L631" s="42"/>
      <c r="M631" s="7"/>
      <c r="N631" s="7"/>
      <c r="O631" s="35"/>
      <c r="P631" s="35"/>
      <c r="Q631" s="35"/>
      <c r="R631" s="35"/>
      <c r="S631" s="7"/>
      <c r="T631" s="7"/>
      <c r="U631" s="7"/>
      <c r="X631" s="7"/>
      <c r="Y631" s="7"/>
      <c r="Z631" s="7"/>
      <c r="AA631" s="7"/>
    </row>
    <row r="632" spans="1:27" ht="15">
      <c r="A632" s="7"/>
      <c r="B632" s="32"/>
      <c r="D632" s="93"/>
      <c r="E632" s="93"/>
      <c r="I632" s="42"/>
      <c r="J632" s="42"/>
      <c r="K632" s="42"/>
      <c r="L632" s="42"/>
      <c r="M632" s="7"/>
      <c r="N632" s="7"/>
      <c r="O632" s="35"/>
      <c r="P632" s="35"/>
      <c r="Q632" s="35"/>
      <c r="R632" s="35"/>
      <c r="S632" s="7"/>
      <c r="T632" s="7"/>
      <c r="U632" s="7"/>
      <c r="X632" s="7"/>
      <c r="Y632" s="7"/>
      <c r="Z632" s="7"/>
      <c r="AA632" s="7"/>
    </row>
    <row r="633" spans="1:27" ht="15">
      <c r="A633" s="7"/>
      <c r="B633" s="32"/>
      <c r="D633" s="93"/>
      <c r="E633" s="93"/>
      <c r="I633" s="42"/>
      <c r="J633" s="42"/>
      <c r="K633" s="42"/>
      <c r="L633" s="42"/>
      <c r="M633" s="7"/>
      <c r="N633" s="7"/>
      <c r="O633" s="35"/>
      <c r="P633" s="35"/>
      <c r="Q633" s="35"/>
      <c r="R633" s="35"/>
      <c r="S633" s="7"/>
      <c r="T633" s="7"/>
      <c r="U633" s="7"/>
      <c r="X633" s="7"/>
      <c r="Y633" s="7"/>
      <c r="Z633" s="7"/>
      <c r="AA633" s="7"/>
    </row>
    <row r="634" spans="1:27" ht="15">
      <c r="A634" s="7"/>
      <c r="B634" s="32"/>
      <c r="D634" s="93"/>
      <c r="E634" s="93"/>
      <c r="I634" s="42"/>
      <c r="J634" s="42"/>
      <c r="K634" s="42"/>
      <c r="L634" s="42"/>
      <c r="M634" s="7"/>
      <c r="N634" s="7"/>
      <c r="O634" s="35"/>
      <c r="P634" s="35"/>
      <c r="Q634" s="35"/>
      <c r="R634" s="35"/>
      <c r="S634" s="7"/>
      <c r="T634" s="7"/>
      <c r="U634" s="7"/>
      <c r="X634" s="7"/>
      <c r="Y634" s="7"/>
      <c r="Z634" s="7"/>
      <c r="AA634" s="7"/>
    </row>
    <row r="635" spans="1:27" ht="15">
      <c r="A635" s="7"/>
      <c r="B635" s="32"/>
      <c r="D635" s="93"/>
      <c r="E635" s="93"/>
      <c r="I635" s="42"/>
      <c r="J635" s="42"/>
      <c r="K635" s="42"/>
      <c r="L635" s="42"/>
      <c r="M635" s="7"/>
      <c r="N635" s="7"/>
      <c r="O635" s="35"/>
      <c r="P635" s="35"/>
      <c r="Q635" s="35"/>
      <c r="R635" s="35"/>
      <c r="S635" s="7"/>
      <c r="T635" s="7"/>
      <c r="U635" s="7"/>
      <c r="X635" s="7"/>
      <c r="Y635" s="7"/>
      <c r="Z635" s="7"/>
      <c r="AA635" s="7"/>
    </row>
    <row r="636" spans="1:27" ht="15">
      <c r="A636" s="7"/>
      <c r="B636" s="32"/>
      <c r="D636" s="93"/>
      <c r="E636" s="93"/>
      <c r="I636" s="42"/>
      <c r="J636" s="42"/>
      <c r="K636" s="42"/>
      <c r="L636" s="42"/>
      <c r="M636" s="7"/>
      <c r="N636" s="7"/>
      <c r="O636" s="35"/>
      <c r="P636" s="35"/>
      <c r="Q636" s="35"/>
      <c r="R636" s="35"/>
      <c r="S636" s="7"/>
      <c r="T636" s="7"/>
      <c r="U636" s="7"/>
      <c r="X636" s="7"/>
      <c r="Y636" s="7"/>
      <c r="Z636" s="7"/>
      <c r="AA636" s="7"/>
    </row>
    <row r="637" spans="1:27" ht="15">
      <c r="A637" s="7"/>
      <c r="B637" s="32"/>
      <c r="D637" s="93"/>
      <c r="E637" s="93"/>
      <c r="I637" s="42"/>
      <c r="J637" s="42"/>
      <c r="K637" s="42"/>
      <c r="L637" s="42"/>
      <c r="M637" s="7"/>
      <c r="N637" s="7"/>
      <c r="O637" s="35"/>
      <c r="P637" s="35"/>
      <c r="Q637" s="35"/>
      <c r="R637" s="35"/>
      <c r="S637" s="7"/>
      <c r="T637" s="7"/>
      <c r="U637" s="7"/>
      <c r="X637" s="7"/>
      <c r="Y637" s="7"/>
      <c r="Z637" s="7"/>
      <c r="AA637" s="7"/>
    </row>
    <row r="638" spans="1:27" ht="15">
      <c r="A638" s="7"/>
      <c r="B638" s="32"/>
      <c r="D638" s="93"/>
      <c r="E638" s="93"/>
      <c r="I638" s="42"/>
      <c r="J638" s="42"/>
      <c r="K638" s="42"/>
      <c r="L638" s="42"/>
      <c r="M638" s="7"/>
      <c r="N638" s="7"/>
      <c r="O638" s="35"/>
      <c r="P638" s="35"/>
      <c r="Q638" s="35"/>
      <c r="R638" s="35"/>
      <c r="S638" s="7"/>
      <c r="T638" s="7"/>
      <c r="U638" s="7"/>
      <c r="X638" s="7"/>
      <c r="Y638" s="7"/>
      <c r="Z638" s="7"/>
      <c r="AA638" s="7"/>
    </row>
    <row r="639" spans="1:27" ht="15">
      <c r="A639" s="7"/>
      <c r="B639" s="32"/>
      <c r="D639" s="93"/>
      <c r="E639" s="93"/>
      <c r="I639" s="42"/>
      <c r="J639" s="42"/>
      <c r="K639" s="42"/>
      <c r="L639" s="42"/>
      <c r="M639" s="7"/>
      <c r="N639" s="7"/>
      <c r="O639" s="35"/>
      <c r="P639" s="35"/>
      <c r="Q639" s="35"/>
      <c r="R639" s="35"/>
      <c r="S639" s="7"/>
      <c r="T639" s="7"/>
      <c r="U639" s="7"/>
      <c r="X639" s="7"/>
      <c r="Y639" s="7"/>
      <c r="Z639" s="7"/>
      <c r="AA639" s="7"/>
    </row>
    <row r="640" spans="1:27" ht="15">
      <c r="A640" s="7"/>
      <c r="B640" s="32"/>
      <c r="D640" s="93"/>
      <c r="E640" s="93"/>
      <c r="I640" s="42"/>
      <c r="J640" s="42"/>
      <c r="K640" s="42"/>
      <c r="L640" s="42"/>
      <c r="M640" s="7"/>
      <c r="N640" s="7"/>
      <c r="O640" s="35"/>
      <c r="P640" s="35"/>
      <c r="Q640" s="35"/>
      <c r="R640" s="35"/>
      <c r="S640" s="7"/>
      <c r="T640" s="7"/>
      <c r="U640" s="7"/>
      <c r="X640" s="7"/>
      <c r="Y640" s="7"/>
      <c r="Z640" s="7"/>
      <c r="AA640" s="7"/>
    </row>
    <row r="641" spans="1:27" ht="15">
      <c r="A641" s="7"/>
      <c r="B641" s="32"/>
      <c r="D641" s="93"/>
      <c r="E641" s="93"/>
      <c r="I641" s="42"/>
      <c r="J641" s="42"/>
      <c r="K641" s="42"/>
      <c r="L641" s="42"/>
      <c r="M641" s="7"/>
      <c r="N641" s="7"/>
      <c r="O641" s="35"/>
      <c r="P641" s="35"/>
      <c r="Q641" s="35"/>
      <c r="R641" s="35"/>
      <c r="S641" s="7"/>
      <c r="T641" s="7"/>
      <c r="U641" s="7"/>
      <c r="X641" s="7"/>
      <c r="Y641" s="7"/>
      <c r="Z641" s="7"/>
      <c r="AA641" s="7"/>
    </row>
    <row r="642" spans="1:27" ht="15">
      <c r="A642" s="7"/>
      <c r="B642" s="32"/>
      <c r="D642" s="93"/>
      <c r="E642" s="93"/>
      <c r="I642" s="42"/>
      <c r="J642" s="42"/>
      <c r="K642" s="42"/>
      <c r="L642" s="42"/>
      <c r="M642" s="7"/>
      <c r="N642" s="7"/>
      <c r="O642" s="35"/>
      <c r="P642" s="35"/>
      <c r="Q642" s="35"/>
      <c r="R642" s="35"/>
      <c r="S642" s="7"/>
      <c r="T642" s="7"/>
      <c r="U642" s="7"/>
      <c r="X642" s="7"/>
      <c r="Y642" s="7"/>
      <c r="Z642" s="7"/>
      <c r="AA642" s="7"/>
    </row>
    <row r="643" spans="1:27" ht="15">
      <c r="A643" s="7"/>
      <c r="B643" s="32"/>
      <c r="D643" s="93"/>
      <c r="E643" s="93"/>
      <c r="I643" s="42"/>
      <c r="J643" s="42"/>
      <c r="K643" s="42"/>
      <c r="L643" s="42"/>
      <c r="M643" s="7"/>
      <c r="N643" s="7"/>
      <c r="O643" s="35"/>
      <c r="P643" s="35"/>
      <c r="Q643" s="35"/>
      <c r="R643" s="35"/>
      <c r="S643" s="7"/>
      <c r="T643" s="7"/>
      <c r="U643" s="7"/>
      <c r="X643" s="7"/>
      <c r="Y643" s="7"/>
      <c r="Z643" s="7"/>
      <c r="AA643" s="7"/>
    </row>
    <row r="644" spans="1:27" ht="15">
      <c r="A644" s="7"/>
      <c r="B644" s="32"/>
      <c r="D644" s="93"/>
      <c r="E644" s="93"/>
      <c r="I644" s="42"/>
      <c r="J644" s="42"/>
      <c r="K644" s="42"/>
      <c r="L644" s="42"/>
      <c r="M644" s="7"/>
      <c r="N644" s="7"/>
      <c r="O644" s="35"/>
      <c r="P644" s="35"/>
      <c r="Q644" s="35"/>
      <c r="R644" s="35"/>
      <c r="S644" s="7"/>
      <c r="T644" s="7"/>
      <c r="U644" s="7"/>
      <c r="X644" s="7"/>
      <c r="Y644" s="7"/>
      <c r="Z644" s="7"/>
      <c r="AA644" s="7"/>
    </row>
    <row r="645" spans="1:27" ht="15">
      <c r="A645" s="7"/>
      <c r="B645" s="32"/>
      <c r="D645" s="93"/>
      <c r="E645" s="93"/>
      <c r="I645" s="42"/>
      <c r="J645" s="42"/>
      <c r="K645" s="42"/>
      <c r="L645" s="42"/>
      <c r="M645" s="7"/>
      <c r="N645" s="7"/>
      <c r="O645" s="35"/>
      <c r="P645" s="35"/>
      <c r="Q645" s="35"/>
      <c r="R645" s="35"/>
      <c r="S645" s="7"/>
      <c r="T645" s="7"/>
      <c r="U645" s="7"/>
      <c r="X645" s="7"/>
      <c r="Y645" s="7"/>
      <c r="Z645" s="7"/>
      <c r="AA645" s="7"/>
    </row>
    <row r="646" spans="1:27" ht="15">
      <c r="A646" s="7"/>
      <c r="B646" s="32"/>
      <c r="D646" s="93"/>
      <c r="E646" s="93"/>
      <c r="I646" s="42"/>
      <c r="J646" s="42"/>
      <c r="K646" s="42"/>
      <c r="L646" s="42"/>
      <c r="M646" s="7"/>
      <c r="N646" s="7"/>
      <c r="O646" s="35"/>
      <c r="P646" s="35"/>
      <c r="Q646" s="35"/>
      <c r="R646" s="35"/>
      <c r="S646" s="7"/>
      <c r="T646" s="7"/>
      <c r="U646" s="7"/>
      <c r="X646" s="7"/>
      <c r="Y646" s="7"/>
      <c r="Z646" s="7"/>
      <c r="AA646" s="7"/>
    </row>
    <row r="647" spans="1:27" ht="15">
      <c r="A647" s="7"/>
      <c r="B647" s="32"/>
      <c r="D647" s="93"/>
      <c r="E647" s="93"/>
      <c r="I647" s="42"/>
      <c r="J647" s="42"/>
      <c r="K647" s="42"/>
      <c r="L647" s="42"/>
      <c r="M647" s="7"/>
      <c r="N647" s="7"/>
      <c r="O647" s="35"/>
      <c r="P647" s="35"/>
      <c r="Q647" s="35"/>
      <c r="R647" s="35"/>
      <c r="S647" s="7"/>
      <c r="T647" s="7"/>
      <c r="U647" s="7"/>
      <c r="X647" s="7"/>
      <c r="Y647" s="7"/>
      <c r="Z647" s="7"/>
      <c r="AA647" s="7"/>
    </row>
    <row r="648" spans="1:27" ht="15">
      <c r="A648" s="7"/>
      <c r="B648" s="32"/>
      <c r="D648" s="93"/>
      <c r="E648" s="93"/>
      <c r="I648" s="42"/>
      <c r="J648" s="42"/>
      <c r="K648" s="42"/>
      <c r="L648" s="42"/>
      <c r="M648" s="7"/>
      <c r="N648" s="7"/>
      <c r="O648" s="35"/>
      <c r="P648" s="35"/>
      <c r="Q648" s="35"/>
      <c r="R648" s="35"/>
      <c r="S648" s="7"/>
      <c r="T648" s="7"/>
      <c r="U648" s="7"/>
      <c r="X648" s="7"/>
      <c r="Y648" s="7"/>
      <c r="Z648" s="7"/>
      <c r="AA648" s="7"/>
    </row>
    <row r="649" spans="1:27" ht="15">
      <c r="A649" s="7"/>
      <c r="B649" s="32"/>
      <c r="D649" s="93"/>
      <c r="E649" s="93"/>
      <c r="I649" s="42"/>
      <c r="J649" s="42"/>
      <c r="K649" s="42"/>
      <c r="L649" s="42"/>
      <c r="M649" s="7"/>
      <c r="N649" s="7"/>
      <c r="O649" s="35"/>
      <c r="P649" s="35"/>
      <c r="Q649" s="35"/>
      <c r="R649" s="35"/>
      <c r="S649" s="7"/>
      <c r="T649" s="7"/>
      <c r="U649" s="7"/>
      <c r="X649" s="7"/>
      <c r="Y649" s="7"/>
      <c r="Z649" s="7"/>
      <c r="AA649" s="7"/>
    </row>
    <row r="650" spans="1:27" ht="15">
      <c r="A650" s="7"/>
      <c r="B650" s="32"/>
      <c r="D650" s="93"/>
      <c r="E650" s="93"/>
      <c r="I650" s="42"/>
      <c r="J650" s="42"/>
      <c r="K650" s="42"/>
      <c r="L650" s="42"/>
      <c r="M650" s="7"/>
      <c r="N650" s="7"/>
      <c r="O650" s="35"/>
      <c r="P650" s="35"/>
      <c r="Q650" s="35"/>
      <c r="R650" s="35"/>
      <c r="S650" s="7"/>
      <c r="T650" s="7"/>
      <c r="U650" s="7"/>
      <c r="X650" s="7"/>
      <c r="Y650" s="7"/>
      <c r="Z650" s="7"/>
      <c r="AA650" s="7"/>
    </row>
    <row r="651" spans="1:27" ht="15">
      <c r="A651" s="7"/>
      <c r="B651" s="32"/>
      <c r="D651" s="93"/>
      <c r="E651" s="93"/>
      <c r="I651" s="42"/>
      <c r="J651" s="42"/>
      <c r="K651" s="42"/>
      <c r="L651" s="42"/>
      <c r="M651" s="7"/>
      <c r="N651" s="7"/>
      <c r="O651" s="35"/>
      <c r="P651" s="35"/>
      <c r="Q651" s="35"/>
      <c r="R651" s="35"/>
      <c r="S651" s="7"/>
      <c r="T651" s="7"/>
      <c r="U651" s="7"/>
      <c r="X651" s="7"/>
      <c r="Y651" s="7"/>
      <c r="Z651" s="7"/>
      <c r="AA651" s="7"/>
    </row>
    <row r="652" spans="1:27" ht="15">
      <c r="A652" s="7"/>
      <c r="B652" s="32"/>
      <c r="D652" s="93"/>
      <c r="E652" s="93"/>
      <c r="I652" s="42"/>
      <c r="J652" s="42"/>
      <c r="K652" s="42"/>
      <c r="L652" s="42"/>
      <c r="M652" s="7"/>
      <c r="N652" s="7"/>
      <c r="O652" s="35"/>
      <c r="P652" s="35"/>
      <c r="Q652" s="35"/>
      <c r="R652" s="35"/>
      <c r="S652" s="7"/>
      <c r="T652" s="7"/>
      <c r="U652" s="7"/>
      <c r="X652" s="7"/>
      <c r="Y652" s="7"/>
      <c r="Z652" s="7"/>
      <c r="AA652" s="7"/>
    </row>
    <row r="653" spans="1:27" ht="15">
      <c r="A653" s="7"/>
      <c r="B653" s="32"/>
      <c r="D653" s="93"/>
      <c r="E653" s="93"/>
      <c r="I653" s="42"/>
      <c r="J653" s="42"/>
      <c r="K653" s="42"/>
      <c r="L653" s="42"/>
      <c r="M653" s="7"/>
      <c r="N653" s="7"/>
      <c r="O653" s="35"/>
      <c r="P653" s="35"/>
      <c r="Q653" s="35"/>
      <c r="R653" s="35"/>
      <c r="S653" s="7"/>
      <c r="T653" s="7"/>
      <c r="U653" s="7"/>
      <c r="X653" s="7"/>
      <c r="Y653" s="7"/>
      <c r="Z653" s="7"/>
      <c r="AA653" s="7"/>
    </row>
    <row r="654" spans="1:27" ht="15">
      <c r="A654" s="7"/>
      <c r="B654" s="32"/>
      <c r="D654" s="93"/>
      <c r="E654" s="93"/>
      <c r="I654" s="42"/>
      <c r="J654" s="42"/>
      <c r="K654" s="42"/>
      <c r="L654" s="42"/>
      <c r="M654" s="7"/>
      <c r="N654" s="7"/>
      <c r="O654" s="35"/>
      <c r="P654" s="35"/>
      <c r="Q654" s="35"/>
      <c r="R654" s="35"/>
      <c r="S654" s="7"/>
      <c r="T654" s="7"/>
      <c r="U654" s="7"/>
      <c r="X654" s="7"/>
      <c r="Y654" s="7"/>
      <c r="Z654" s="7"/>
      <c r="AA654" s="7"/>
    </row>
    <row r="655" spans="1:27" ht="15">
      <c r="A655" s="7"/>
      <c r="B655" s="32"/>
      <c r="D655" s="93"/>
      <c r="E655" s="93"/>
      <c r="I655" s="42"/>
      <c r="J655" s="42"/>
      <c r="K655" s="42"/>
      <c r="L655" s="42"/>
      <c r="M655" s="7"/>
      <c r="N655" s="7"/>
      <c r="O655" s="35"/>
      <c r="P655" s="35"/>
      <c r="Q655" s="35"/>
      <c r="R655" s="35"/>
      <c r="S655" s="7"/>
      <c r="T655" s="7"/>
      <c r="U655" s="7"/>
      <c r="X655" s="7"/>
      <c r="Y655" s="7"/>
      <c r="Z655" s="7"/>
      <c r="AA655" s="7"/>
    </row>
    <row r="656" spans="1:27" ht="15">
      <c r="A656" s="7"/>
      <c r="B656" s="32"/>
      <c r="D656" s="93"/>
      <c r="E656" s="93"/>
      <c r="I656" s="42"/>
      <c r="J656" s="42"/>
      <c r="K656" s="42"/>
      <c r="L656" s="42"/>
      <c r="M656" s="7"/>
      <c r="N656" s="7"/>
      <c r="O656" s="35"/>
      <c r="P656" s="35"/>
      <c r="Q656" s="35"/>
      <c r="R656" s="35"/>
      <c r="S656" s="7"/>
      <c r="T656" s="7"/>
      <c r="U656" s="7"/>
      <c r="X656" s="7"/>
      <c r="Y656" s="7"/>
      <c r="Z656" s="7"/>
      <c r="AA656" s="7"/>
    </row>
    <row r="657" spans="1:27" ht="15">
      <c r="A657" s="7"/>
      <c r="B657" s="32"/>
      <c r="D657" s="93"/>
      <c r="E657" s="93"/>
      <c r="I657" s="42"/>
      <c r="J657" s="42"/>
      <c r="K657" s="42"/>
      <c r="L657" s="42"/>
      <c r="M657" s="7"/>
      <c r="N657" s="7"/>
      <c r="O657" s="35"/>
      <c r="P657" s="35"/>
      <c r="Q657" s="35"/>
      <c r="R657" s="35"/>
      <c r="S657" s="7"/>
      <c r="T657" s="7"/>
      <c r="U657" s="7"/>
      <c r="X657" s="7"/>
      <c r="Y657" s="7"/>
      <c r="Z657" s="7"/>
      <c r="AA657" s="7"/>
    </row>
    <row r="658" spans="1:27" ht="15">
      <c r="A658" s="7"/>
      <c r="B658" s="32"/>
      <c r="D658" s="93"/>
      <c r="E658" s="93"/>
      <c r="I658" s="42"/>
      <c r="J658" s="42"/>
      <c r="K658" s="42"/>
      <c r="L658" s="42"/>
      <c r="M658" s="7"/>
      <c r="N658" s="7"/>
      <c r="O658" s="35"/>
      <c r="P658" s="35"/>
      <c r="Q658" s="35"/>
      <c r="R658" s="35"/>
      <c r="S658" s="7"/>
      <c r="T658" s="7"/>
      <c r="U658" s="7"/>
      <c r="X658" s="7"/>
      <c r="Y658" s="7"/>
      <c r="Z658" s="7"/>
      <c r="AA658" s="7"/>
    </row>
    <row r="659" spans="1:27" ht="15">
      <c r="A659" s="7"/>
      <c r="B659" s="32"/>
      <c r="D659" s="93"/>
      <c r="E659" s="93"/>
      <c r="I659" s="42"/>
      <c r="J659" s="42"/>
      <c r="K659" s="42"/>
      <c r="L659" s="42"/>
      <c r="M659" s="7"/>
      <c r="N659" s="7"/>
      <c r="O659" s="35"/>
      <c r="P659" s="35"/>
      <c r="Q659" s="35"/>
      <c r="R659" s="35"/>
      <c r="S659" s="7"/>
      <c r="T659" s="7"/>
      <c r="U659" s="7"/>
      <c r="X659" s="7"/>
      <c r="Y659" s="7"/>
      <c r="Z659" s="7"/>
      <c r="AA659" s="7"/>
    </row>
    <row r="660" spans="1:27" ht="15">
      <c r="A660" s="7"/>
      <c r="B660" s="32"/>
      <c r="D660" s="93"/>
      <c r="E660" s="93"/>
      <c r="I660" s="42"/>
      <c r="J660" s="42"/>
      <c r="K660" s="42"/>
      <c r="L660" s="42"/>
      <c r="M660" s="7"/>
      <c r="N660" s="7"/>
      <c r="O660" s="35"/>
      <c r="P660" s="35"/>
      <c r="Q660" s="35"/>
      <c r="R660" s="35"/>
      <c r="S660" s="7"/>
      <c r="T660" s="7"/>
      <c r="U660" s="7"/>
      <c r="X660" s="7"/>
      <c r="Y660" s="7"/>
      <c r="Z660" s="7"/>
      <c r="AA660" s="7"/>
    </row>
    <row r="661" spans="1:27" ht="15">
      <c r="A661" s="7"/>
      <c r="B661" s="32"/>
      <c r="D661" s="93"/>
      <c r="E661" s="93"/>
      <c r="I661" s="42"/>
      <c r="J661" s="42"/>
      <c r="K661" s="42"/>
      <c r="L661" s="42"/>
      <c r="M661" s="7"/>
      <c r="N661" s="7"/>
      <c r="O661" s="35"/>
      <c r="P661" s="35"/>
      <c r="Q661" s="35"/>
      <c r="R661" s="35"/>
      <c r="S661" s="7"/>
      <c r="T661" s="7"/>
      <c r="U661" s="7"/>
      <c r="X661" s="7"/>
      <c r="Y661" s="7"/>
      <c r="Z661" s="7"/>
      <c r="AA661" s="7"/>
    </row>
    <row r="662" spans="1:27" ht="15">
      <c r="A662" s="7"/>
      <c r="B662" s="32"/>
      <c r="D662" s="93"/>
      <c r="E662" s="93"/>
      <c r="I662" s="42"/>
      <c r="J662" s="42"/>
      <c r="K662" s="42"/>
      <c r="L662" s="42"/>
      <c r="M662" s="7"/>
      <c r="N662" s="7"/>
      <c r="O662" s="35"/>
      <c r="P662" s="35"/>
      <c r="Q662" s="35"/>
      <c r="R662" s="35"/>
      <c r="S662" s="7"/>
      <c r="T662" s="7"/>
      <c r="U662" s="7"/>
      <c r="X662" s="7"/>
      <c r="Y662" s="7"/>
      <c r="Z662" s="7"/>
      <c r="AA662" s="7"/>
    </row>
    <row r="663" spans="1:27" ht="15">
      <c r="A663" s="7"/>
      <c r="B663" s="32"/>
      <c r="D663" s="93"/>
      <c r="E663" s="93"/>
      <c r="I663" s="42"/>
      <c r="J663" s="42"/>
      <c r="K663" s="42"/>
      <c r="L663" s="42"/>
      <c r="M663" s="7"/>
      <c r="N663" s="7"/>
      <c r="O663" s="35"/>
      <c r="P663" s="35"/>
      <c r="Q663" s="35"/>
      <c r="R663" s="35"/>
      <c r="S663" s="7"/>
      <c r="T663" s="7"/>
      <c r="U663" s="7"/>
      <c r="X663" s="7"/>
      <c r="Y663" s="7"/>
      <c r="Z663" s="7"/>
      <c r="AA663" s="7"/>
    </row>
    <row r="664" spans="1:27" ht="15">
      <c r="A664" s="7"/>
      <c r="B664" s="32"/>
      <c r="D664" s="93"/>
      <c r="E664" s="93"/>
      <c r="I664" s="42"/>
      <c r="J664" s="42"/>
      <c r="K664" s="42"/>
      <c r="L664" s="42"/>
      <c r="M664" s="7"/>
      <c r="N664" s="7"/>
      <c r="O664" s="35"/>
      <c r="P664" s="35"/>
      <c r="Q664" s="35"/>
      <c r="R664" s="35"/>
      <c r="S664" s="7"/>
      <c r="T664" s="7"/>
      <c r="U664" s="7"/>
      <c r="X664" s="7"/>
      <c r="Y664" s="7"/>
      <c r="Z664" s="7"/>
      <c r="AA664" s="7"/>
    </row>
    <row r="665" spans="1:27" ht="15">
      <c r="A665" s="7"/>
      <c r="B665" s="32"/>
      <c r="D665" s="93"/>
      <c r="E665" s="93"/>
      <c r="I665" s="42"/>
      <c r="J665" s="42"/>
      <c r="K665" s="42"/>
      <c r="L665" s="42"/>
      <c r="M665" s="7"/>
      <c r="N665" s="7"/>
      <c r="O665" s="35"/>
      <c r="P665" s="35"/>
      <c r="Q665" s="35"/>
      <c r="R665" s="35"/>
      <c r="S665" s="7"/>
      <c r="T665" s="7"/>
      <c r="U665" s="7"/>
      <c r="X665" s="7"/>
      <c r="Y665" s="7"/>
      <c r="Z665" s="7"/>
      <c r="AA665" s="7"/>
    </row>
    <row r="666" spans="1:27" ht="15">
      <c r="A666" s="7"/>
      <c r="B666" s="32"/>
      <c r="D666" s="93"/>
      <c r="E666" s="93"/>
      <c r="I666" s="42"/>
      <c r="J666" s="42"/>
      <c r="K666" s="42"/>
      <c r="L666" s="42"/>
      <c r="M666" s="7"/>
      <c r="N666" s="7"/>
      <c r="O666" s="35"/>
      <c r="P666" s="35"/>
      <c r="Q666" s="35"/>
      <c r="R666" s="35"/>
      <c r="S666" s="7"/>
      <c r="T666" s="7"/>
      <c r="U666" s="7"/>
      <c r="X666" s="7"/>
      <c r="Y666" s="7"/>
      <c r="Z666" s="7"/>
      <c r="AA666" s="7"/>
    </row>
    <row r="667" spans="1:27" ht="15">
      <c r="A667" s="7"/>
      <c r="B667" s="32"/>
      <c r="D667" s="93"/>
      <c r="E667" s="93"/>
      <c r="I667" s="42"/>
      <c r="J667" s="42"/>
      <c r="K667" s="42"/>
      <c r="L667" s="42"/>
      <c r="M667" s="7"/>
      <c r="N667" s="7"/>
      <c r="O667" s="35"/>
      <c r="P667" s="35"/>
      <c r="Q667" s="35"/>
      <c r="R667" s="35"/>
      <c r="S667" s="7"/>
      <c r="T667" s="7"/>
      <c r="U667" s="7"/>
      <c r="X667" s="7"/>
      <c r="Y667" s="7"/>
      <c r="Z667" s="7"/>
      <c r="AA667" s="7"/>
    </row>
    <row r="668" spans="1:27" ht="15">
      <c r="A668" s="7"/>
      <c r="B668" s="32"/>
      <c r="D668" s="93"/>
      <c r="E668" s="93"/>
      <c r="I668" s="42"/>
      <c r="J668" s="42"/>
      <c r="K668" s="42"/>
      <c r="L668" s="42"/>
      <c r="M668" s="7"/>
      <c r="N668" s="7"/>
      <c r="O668" s="35"/>
      <c r="P668" s="35"/>
      <c r="Q668" s="35"/>
      <c r="R668" s="35"/>
      <c r="S668" s="7"/>
      <c r="T668" s="7"/>
      <c r="U668" s="7"/>
      <c r="X668" s="7"/>
      <c r="Y668" s="7"/>
      <c r="Z668" s="7"/>
      <c r="AA668" s="7"/>
    </row>
    <row r="669" spans="1:27" ht="15">
      <c r="A669" s="7"/>
      <c r="B669" s="32"/>
      <c r="D669" s="93"/>
      <c r="E669" s="93"/>
      <c r="I669" s="42"/>
      <c r="J669" s="42"/>
      <c r="K669" s="42"/>
      <c r="L669" s="42"/>
      <c r="M669" s="7"/>
      <c r="N669" s="7"/>
      <c r="O669" s="35"/>
      <c r="P669" s="35"/>
      <c r="Q669" s="35"/>
      <c r="R669" s="35"/>
      <c r="S669" s="7"/>
      <c r="T669" s="7"/>
      <c r="U669" s="7"/>
      <c r="X669" s="7"/>
      <c r="Y669" s="7"/>
      <c r="Z669" s="7"/>
      <c r="AA669" s="7"/>
    </row>
    <row r="670" spans="1:27" ht="15">
      <c r="A670" s="7"/>
      <c r="B670" s="32"/>
      <c r="D670" s="93"/>
      <c r="E670" s="93"/>
      <c r="I670" s="42"/>
      <c r="J670" s="42"/>
      <c r="K670" s="42"/>
      <c r="L670" s="42"/>
      <c r="M670" s="7"/>
      <c r="N670" s="7"/>
      <c r="O670" s="35"/>
      <c r="P670" s="35"/>
      <c r="Q670" s="35"/>
      <c r="R670" s="35"/>
      <c r="S670" s="7"/>
      <c r="T670" s="7"/>
      <c r="U670" s="7"/>
      <c r="X670" s="7"/>
      <c r="Y670" s="7"/>
      <c r="Z670" s="7"/>
      <c r="AA670" s="7"/>
    </row>
    <row r="671" spans="1:27" ht="15">
      <c r="A671" s="7"/>
      <c r="B671" s="32"/>
      <c r="D671" s="93"/>
      <c r="E671" s="93"/>
      <c r="I671" s="42"/>
      <c r="J671" s="42"/>
      <c r="K671" s="42"/>
      <c r="L671" s="42"/>
      <c r="M671" s="7"/>
      <c r="N671" s="7"/>
      <c r="O671" s="35"/>
      <c r="P671" s="35"/>
      <c r="Q671" s="35"/>
      <c r="R671" s="35"/>
      <c r="S671" s="7"/>
      <c r="T671" s="7"/>
      <c r="U671" s="7"/>
      <c r="X671" s="7"/>
      <c r="Y671" s="7"/>
      <c r="Z671" s="7"/>
      <c r="AA671" s="7"/>
    </row>
    <row r="672" spans="1:27" ht="15">
      <c r="A672" s="7"/>
      <c r="B672" s="32"/>
      <c r="D672" s="93"/>
      <c r="E672" s="93"/>
      <c r="I672" s="42"/>
      <c r="J672" s="42"/>
      <c r="K672" s="42"/>
      <c r="L672" s="42"/>
      <c r="M672" s="7"/>
      <c r="N672" s="7"/>
      <c r="O672" s="35"/>
      <c r="P672" s="35"/>
      <c r="Q672" s="35"/>
      <c r="R672" s="35"/>
      <c r="S672" s="7"/>
      <c r="T672" s="7"/>
      <c r="U672" s="7"/>
      <c r="X672" s="7"/>
      <c r="Y672" s="7"/>
      <c r="Z672" s="7"/>
      <c r="AA672" s="7"/>
    </row>
    <row r="673" spans="1:27" ht="15">
      <c r="A673" s="7"/>
      <c r="B673" s="32"/>
      <c r="D673" s="93"/>
      <c r="E673" s="93"/>
      <c r="I673" s="42"/>
      <c r="J673" s="42"/>
      <c r="K673" s="42"/>
      <c r="L673" s="42"/>
      <c r="M673" s="7"/>
      <c r="N673" s="7"/>
      <c r="O673" s="35"/>
      <c r="P673" s="35"/>
      <c r="Q673" s="35"/>
      <c r="R673" s="35"/>
      <c r="S673" s="7"/>
      <c r="T673" s="7"/>
      <c r="U673" s="7"/>
      <c r="X673" s="7"/>
      <c r="Y673" s="7"/>
      <c r="Z673" s="7"/>
      <c r="AA673" s="7"/>
    </row>
    <row r="674" spans="1:27" ht="15">
      <c r="A674" s="7"/>
      <c r="B674" s="32"/>
      <c r="D674" s="93"/>
      <c r="E674" s="93"/>
      <c r="I674" s="42"/>
      <c r="J674" s="42"/>
      <c r="K674" s="42"/>
      <c r="L674" s="42"/>
      <c r="M674" s="7"/>
      <c r="N674" s="7"/>
      <c r="O674" s="35"/>
      <c r="P674" s="35"/>
      <c r="Q674" s="35"/>
      <c r="R674" s="35"/>
      <c r="S674" s="7"/>
      <c r="T674" s="7"/>
      <c r="U674" s="7"/>
      <c r="X674" s="7"/>
      <c r="Y674" s="7"/>
      <c r="Z674" s="7"/>
      <c r="AA674" s="7"/>
    </row>
    <row r="675" spans="1:27" ht="15">
      <c r="A675" s="7"/>
      <c r="B675" s="32"/>
      <c r="D675" s="93"/>
      <c r="E675" s="93"/>
      <c r="I675" s="42"/>
      <c r="J675" s="42"/>
      <c r="K675" s="42"/>
      <c r="L675" s="42"/>
      <c r="M675" s="7"/>
      <c r="N675" s="7"/>
      <c r="O675" s="35"/>
      <c r="P675" s="35"/>
      <c r="Q675" s="35"/>
      <c r="R675" s="35"/>
      <c r="S675" s="7"/>
      <c r="T675" s="7"/>
      <c r="U675" s="7"/>
      <c r="X675" s="7"/>
      <c r="Y675" s="7"/>
      <c r="Z675" s="7"/>
      <c r="AA675" s="7"/>
    </row>
    <row r="676" spans="1:27" ht="15">
      <c r="A676" s="7"/>
      <c r="B676" s="32"/>
      <c r="D676" s="93"/>
      <c r="E676" s="93"/>
      <c r="I676" s="42"/>
      <c r="J676" s="42"/>
      <c r="K676" s="42"/>
      <c r="L676" s="42"/>
      <c r="M676" s="7"/>
      <c r="N676" s="7"/>
      <c r="O676" s="35"/>
      <c r="P676" s="35"/>
      <c r="Q676" s="35"/>
      <c r="R676" s="35"/>
      <c r="S676" s="7"/>
      <c r="T676" s="7"/>
      <c r="U676" s="7"/>
      <c r="X676" s="7"/>
      <c r="Y676" s="7"/>
      <c r="Z676" s="7"/>
      <c r="AA676" s="7"/>
    </row>
    <row r="677" spans="1:27" ht="15">
      <c r="A677" s="7"/>
      <c r="B677" s="32"/>
      <c r="D677" s="93"/>
      <c r="E677" s="93"/>
      <c r="I677" s="42"/>
      <c r="J677" s="42"/>
      <c r="K677" s="42"/>
      <c r="L677" s="42"/>
      <c r="M677" s="7"/>
      <c r="N677" s="7"/>
      <c r="O677" s="35"/>
      <c r="P677" s="35"/>
      <c r="Q677" s="35"/>
      <c r="R677" s="35"/>
      <c r="S677" s="7"/>
      <c r="T677" s="7"/>
      <c r="U677" s="7"/>
      <c r="X677" s="7"/>
      <c r="Y677" s="7"/>
      <c r="Z677" s="7"/>
      <c r="AA677" s="7"/>
    </row>
    <row r="678" spans="1:27" ht="15">
      <c r="A678" s="7"/>
      <c r="B678" s="32"/>
      <c r="D678" s="93"/>
      <c r="E678" s="93"/>
      <c r="I678" s="42"/>
      <c r="J678" s="42"/>
      <c r="K678" s="42"/>
      <c r="L678" s="42"/>
      <c r="M678" s="7"/>
      <c r="N678" s="7"/>
      <c r="O678" s="35"/>
      <c r="P678" s="35"/>
      <c r="Q678" s="35"/>
      <c r="R678" s="35"/>
      <c r="S678" s="7"/>
      <c r="T678" s="7"/>
      <c r="U678" s="7"/>
      <c r="X678" s="7"/>
      <c r="Y678" s="7"/>
      <c r="Z678" s="7"/>
      <c r="AA678" s="7"/>
    </row>
    <row r="679" spans="1:27" ht="15">
      <c r="A679" s="7"/>
      <c r="B679" s="32"/>
      <c r="D679" s="93"/>
      <c r="E679" s="93"/>
      <c r="I679" s="42"/>
      <c r="J679" s="42"/>
      <c r="K679" s="42"/>
      <c r="L679" s="42"/>
      <c r="M679" s="7"/>
      <c r="N679" s="7"/>
      <c r="O679" s="35"/>
      <c r="P679" s="35"/>
      <c r="Q679" s="35"/>
      <c r="R679" s="35"/>
      <c r="S679" s="7"/>
      <c r="T679" s="7"/>
      <c r="U679" s="7"/>
      <c r="X679" s="7"/>
      <c r="Y679" s="7"/>
      <c r="Z679" s="7"/>
      <c r="AA679" s="7"/>
    </row>
    <row r="680" spans="1:27" ht="15">
      <c r="A680" s="7"/>
      <c r="B680" s="32"/>
      <c r="D680" s="93"/>
      <c r="E680" s="93"/>
      <c r="I680" s="42"/>
      <c r="J680" s="42"/>
      <c r="K680" s="42"/>
      <c r="L680" s="42"/>
      <c r="M680" s="7"/>
      <c r="N680" s="7"/>
      <c r="O680" s="35"/>
      <c r="P680" s="35"/>
      <c r="Q680" s="35"/>
      <c r="R680" s="35"/>
      <c r="S680" s="7"/>
      <c r="T680" s="7"/>
      <c r="U680" s="7"/>
      <c r="X680" s="7"/>
      <c r="Y680" s="7"/>
      <c r="Z680" s="7"/>
      <c r="AA680" s="7"/>
    </row>
    <row r="681" spans="1:27" ht="15">
      <c r="A681" s="7"/>
      <c r="B681" s="32"/>
      <c r="D681" s="93"/>
      <c r="E681" s="93"/>
      <c r="I681" s="42"/>
      <c r="J681" s="42"/>
      <c r="K681" s="42"/>
      <c r="L681" s="42"/>
      <c r="M681" s="7"/>
      <c r="N681" s="7"/>
      <c r="O681" s="35"/>
      <c r="P681" s="35"/>
      <c r="Q681" s="35"/>
      <c r="R681" s="35"/>
      <c r="S681" s="7"/>
      <c r="T681" s="7"/>
      <c r="U681" s="7"/>
      <c r="X681" s="7"/>
      <c r="Y681" s="7"/>
      <c r="Z681" s="7"/>
      <c r="AA681" s="7"/>
    </row>
    <row r="682" spans="1:27" ht="15">
      <c r="A682" s="7"/>
      <c r="B682" s="32"/>
      <c r="D682" s="93"/>
      <c r="E682" s="93"/>
      <c r="I682" s="42"/>
      <c r="J682" s="42"/>
      <c r="K682" s="42"/>
      <c r="L682" s="42"/>
      <c r="M682" s="7"/>
      <c r="N682" s="7"/>
      <c r="O682" s="35"/>
      <c r="P682" s="35"/>
      <c r="Q682" s="35"/>
      <c r="R682" s="35"/>
      <c r="S682" s="7"/>
      <c r="T682" s="7"/>
      <c r="U682" s="7"/>
      <c r="X682" s="7"/>
      <c r="Y682" s="7"/>
      <c r="Z682" s="7"/>
      <c r="AA682" s="7"/>
    </row>
    <row r="683" spans="1:27" ht="15">
      <c r="A683" s="7"/>
      <c r="B683" s="32"/>
      <c r="D683" s="93"/>
      <c r="E683" s="93"/>
      <c r="I683" s="42"/>
      <c r="J683" s="42"/>
      <c r="K683" s="42"/>
      <c r="L683" s="42"/>
      <c r="M683" s="7"/>
      <c r="N683" s="7"/>
      <c r="O683" s="35"/>
      <c r="P683" s="35"/>
      <c r="Q683" s="35"/>
      <c r="R683" s="35"/>
      <c r="S683" s="7"/>
      <c r="T683" s="7"/>
      <c r="U683" s="7"/>
      <c r="X683" s="7"/>
      <c r="Y683" s="7"/>
      <c r="Z683" s="7"/>
      <c r="AA683" s="7"/>
    </row>
    <row r="684" spans="1:27" ht="15">
      <c r="A684" s="7"/>
      <c r="B684" s="32"/>
      <c r="D684" s="93"/>
      <c r="E684" s="93"/>
      <c r="I684" s="42"/>
      <c r="J684" s="42"/>
      <c r="K684" s="42"/>
      <c r="L684" s="42"/>
      <c r="M684" s="7"/>
      <c r="N684" s="7"/>
      <c r="O684" s="35"/>
      <c r="P684" s="35"/>
      <c r="Q684" s="35"/>
      <c r="R684" s="35"/>
      <c r="S684" s="7"/>
      <c r="T684" s="7"/>
      <c r="U684" s="7"/>
      <c r="X684" s="7"/>
      <c r="Y684" s="7"/>
      <c r="Z684" s="7"/>
      <c r="AA684" s="7"/>
    </row>
    <row r="685" spans="1:27" ht="15">
      <c r="A685" s="7"/>
      <c r="B685" s="32"/>
      <c r="D685" s="93"/>
      <c r="E685" s="93"/>
      <c r="I685" s="42"/>
      <c r="J685" s="42"/>
      <c r="K685" s="42"/>
      <c r="L685" s="42"/>
      <c r="M685" s="7"/>
      <c r="N685" s="7"/>
      <c r="O685" s="35"/>
      <c r="P685" s="35"/>
      <c r="Q685" s="35"/>
      <c r="R685" s="35"/>
      <c r="S685" s="7"/>
      <c r="T685" s="7"/>
      <c r="U685" s="7"/>
      <c r="X685" s="7"/>
      <c r="Y685" s="7"/>
      <c r="Z685" s="7"/>
      <c r="AA685" s="7"/>
    </row>
    <row r="686" spans="1:27" ht="15">
      <c r="A686" s="7"/>
      <c r="B686" s="32"/>
      <c r="D686" s="93"/>
      <c r="E686" s="93"/>
      <c r="I686" s="42"/>
      <c r="J686" s="42"/>
      <c r="K686" s="42"/>
      <c r="L686" s="42"/>
      <c r="M686" s="7"/>
      <c r="N686" s="7"/>
      <c r="O686" s="35"/>
      <c r="P686" s="35"/>
      <c r="Q686" s="35"/>
      <c r="R686" s="35"/>
      <c r="S686" s="7"/>
      <c r="T686" s="7"/>
      <c r="U686" s="7"/>
      <c r="X686" s="7"/>
      <c r="Y686" s="7"/>
      <c r="Z686" s="7"/>
      <c r="AA686" s="7"/>
    </row>
    <row r="687" spans="1:27" ht="15">
      <c r="A687" s="7"/>
      <c r="B687" s="32"/>
      <c r="D687" s="93"/>
      <c r="E687" s="93"/>
      <c r="I687" s="42"/>
      <c r="J687" s="42"/>
      <c r="K687" s="42"/>
      <c r="L687" s="42"/>
      <c r="M687" s="7"/>
      <c r="N687" s="7"/>
      <c r="O687" s="35"/>
      <c r="P687" s="35"/>
      <c r="Q687" s="35"/>
      <c r="R687" s="35"/>
      <c r="S687" s="7"/>
      <c r="T687" s="7"/>
      <c r="U687" s="7"/>
      <c r="X687" s="7"/>
      <c r="Y687" s="7"/>
      <c r="Z687" s="7"/>
      <c r="AA687" s="7"/>
    </row>
    <row r="688" spans="1:27" ht="15">
      <c r="A688" s="7"/>
      <c r="B688" s="32"/>
      <c r="D688" s="93"/>
      <c r="E688" s="93"/>
      <c r="I688" s="42"/>
      <c r="J688" s="42"/>
      <c r="K688" s="42"/>
      <c r="L688" s="42"/>
      <c r="M688" s="7"/>
      <c r="N688" s="7"/>
      <c r="O688" s="35"/>
      <c r="P688" s="35"/>
      <c r="Q688" s="35"/>
      <c r="R688" s="35"/>
      <c r="S688" s="7"/>
      <c r="T688" s="7"/>
      <c r="U688" s="7"/>
      <c r="X688" s="7"/>
      <c r="Y688" s="7"/>
      <c r="Z688" s="7"/>
      <c r="AA688" s="7"/>
    </row>
    <row r="689" spans="1:27" ht="15">
      <c r="A689" s="7"/>
      <c r="B689" s="32"/>
      <c r="D689" s="93"/>
      <c r="E689" s="93"/>
      <c r="I689" s="42"/>
      <c r="J689" s="42"/>
      <c r="K689" s="42"/>
      <c r="L689" s="42"/>
      <c r="M689" s="7"/>
      <c r="N689" s="7"/>
      <c r="O689" s="35"/>
      <c r="P689" s="35"/>
      <c r="Q689" s="35"/>
      <c r="R689" s="35"/>
      <c r="S689" s="7"/>
      <c r="T689" s="7"/>
      <c r="U689" s="7"/>
      <c r="X689" s="7"/>
      <c r="Y689" s="7"/>
      <c r="Z689" s="7"/>
      <c r="AA689" s="7"/>
    </row>
    <row r="690" spans="1:27" ht="15">
      <c r="A690" s="7"/>
      <c r="B690" s="32"/>
      <c r="D690" s="93"/>
      <c r="E690" s="93"/>
      <c r="I690" s="42"/>
      <c r="J690" s="42"/>
      <c r="K690" s="42"/>
      <c r="L690" s="42"/>
      <c r="M690" s="7"/>
      <c r="N690" s="7"/>
      <c r="O690" s="35"/>
      <c r="P690" s="35"/>
      <c r="Q690" s="35"/>
      <c r="R690" s="35"/>
      <c r="S690" s="7"/>
      <c r="T690" s="7"/>
      <c r="U690" s="7"/>
      <c r="X690" s="7"/>
      <c r="Y690" s="7"/>
      <c r="Z690" s="7"/>
      <c r="AA690" s="7"/>
    </row>
    <row r="691" spans="1:27" ht="15">
      <c r="A691" s="7"/>
      <c r="B691" s="32"/>
      <c r="D691" s="93"/>
      <c r="E691" s="93"/>
      <c r="I691" s="42"/>
      <c r="J691" s="42"/>
      <c r="K691" s="42"/>
      <c r="L691" s="42"/>
      <c r="M691" s="7"/>
      <c r="N691" s="7"/>
      <c r="O691" s="35"/>
      <c r="P691" s="35"/>
      <c r="Q691" s="35"/>
      <c r="R691" s="35"/>
      <c r="S691" s="7"/>
      <c r="T691" s="7"/>
      <c r="U691" s="7"/>
      <c r="X691" s="7"/>
      <c r="Y691" s="7"/>
      <c r="Z691" s="7"/>
      <c r="AA691" s="7"/>
    </row>
    <row r="692" spans="1:27" ht="15">
      <c r="A692" s="7"/>
      <c r="B692" s="32"/>
      <c r="D692" s="93"/>
      <c r="E692" s="93"/>
      <c r="I692" s="42"/>
      <c r="J692" s="42"/>
      <c r="K692" s="42"/>
      <c r="L692" s="42"/>
      <c r="M692" s="7"/>
      <c r="N692" s="7"/>
      <c r="O692" s="35"/>
      <c r="P692" s="35"/>
      <c r="Q692" s="35"/>
      <c r="R692" s="35"/>
      <c r="S692" s="7"/>
      <c r="T692" s="7"/>
      <c r="U692" s="7"/>
      <c r="X692" s="7"/>
      <c r="Y692" s="7"/>
      <c r="Z692" s="7"/>
      <c r="AA692" s="7"/>
    </row>
    <row r="693" spans="1:27" ht="15">
      <c r="A693" s="7"/>
      <c r="B693" s="32"/>
      <c r="D693" s="93"/>
      <c r="E693" s="93"/>
      <c r="I693" s="42"/>
      <c r="J693" s="42"/>
      <c r="K693" s="42"/>
      <c r="L693" s="42"/>
      <c r="M693" s="7"/>
      <c r="N693" s="7"/>
      <c r="O693" s="35"/>
      <c r="P693" s="35"/>
      <c r="Q693" s="35"/>
      <c r="R693" s="35"/>
      <c r="S693" s="7"/>
      <c r="T693" s="7"/>
      <c r="U693" s="7"/>
      <c r="X693" s="7"/>
      <c r="Y693" s="7"/>
      <c r="Z693" s="7"/>
      <c r="AA693" s="7"/>
    </row>
    <row r="694" spans="1:27" ht="15">
      <c r="A694" s="7"/>
      <c r="B694" s="32"/>
      <c r="D694" s="93"/>
      <c r="E694" s="93"/>
      <c r="I694" s="42"/>
      <c r="J694" s="42"/>
      <c r="K694" s="42"/>
      <c r="L694" s="42"/>
      <c r="M694" s="7"/>
      <c r="N694" s="7"/>
      <c r="O694" s="35"/>
      <c r="P694" s="35"/>
      <c r="Q694" s="35"/>
      <c r="R694" s="35"/>
      <c r="S694" s="7"/>
      <c r="T694" s="7"/>
      <c r="U694" s="7"/>
      <c r="X694" s="7"/>
      <c r="Y694" s="7"/>
      <c r="Z694" s="7"/>
      <c r="AA694" s="7"/>
    </row>
    <row r="695" spans="1:27" ht="15">
      <c r="A695" s="7"/>
      <c r="B695" s="32"/>
      <c r="D695" s="93"/>
      <c r="E695" s="93"/>
      <c r="I695" s="42"/>
      <c r="J695" s="42"/>
      <c r="K695" s="42"/>
      <c r="L695" s="42"/>
      <c r="M695" s="7"/>
      <c r="N695" s="7"/>
      <c r="O695" s="35"/>
      <c r="P695" s="35"/>
      <c r="Q695" s="35"/>
      <c r="R695" s="35"/>
      <c r="S695" s="7"/>
      <c r="T695" s="7"/>
      <c r="U695" s="7"/>
      <c r="X695" s="7"/>
      <c r="Y695" s="7"/>
      <c r="Z695" s="7"/>
      <c r="AA695" s="7"/>
    </row>
    <row r="696" spans="1:27" ht="15">
      <c r="A696" s="7"/>
      <c r="B696" s="32"/>
      <c r="D696" s="93"/>
      <c r="E696" s="93"/>
      <c r="I696" s="42"/>
      <c r="J696" s="42"/>
      <c r="K696" s="42"/>
      <c r="L696" s="42"/>
      <c r="M696" s="7"/>
      <c r="N696" s="7"/>
      <c r="O696" s="35"/>
      <c r="P696" s="35"/>
      <c r="Q696" s="35"/>
      <c r="R696" s="35"/>
      <c r="S696" s="7"/>
      <c r="T696" s="7"/>
      <c r="U696" s="7"/>
      <c r="X696" s="7"/>
      <c r="Y696" s="7"/>
      <c r="Z696" s="7"/>
      <c r="AA696" s="7"/>
    </row>
    <row r="697" spans="1:27" ht="15">
      <c r="A697" s="7"/>
      <c r="B697" s="32"/>
      <c r="D697" s="93"/>
      <c r="E697" s="93"/>
      <c r="I697" s="42"/>
      <c r="J697" s="42"/>
      <c r="K697" s="42"/>
      <c r="L697" s="42"/>
      <c r="M697" s="7"/>
      <c r="N697" s="7"/>
      <c r="O697" s="35"/>
      <c r="P697" s="35"/>
      <c r="Q697" s="35"/>
      <c r="R697" s="35"/>
      <c r="S697" s="7"/>
      <c r="T697" s="7"/>
      <c r="U697" s="7"/>
      <c r="X697" s="7"/>
      <c r="Y697" s="7"/>
      <c r="Z697" s="7"/>
      <c r="AA697" s="7"/>
    </row>
    <row r="698" spans="1:27" ht="15">
      <c r="A698" s="7"/>
      <c r="B698" s="32"/>
      <c r="D698" s="93"/>
      <c r="E698" s="93"/>
      <c r="I698" s="42"/>
      <c r="J698" s="42"/>
      <c r="K698" s="42"/>
      <c r="L698" s="42"/>
      <c r="M698" s="7"/>
      <c r="N698" s="7"/>
      <c r="O698" s="35"/>
      <c r="P698" s="35"/>
      <c r="Q698" s="35"/>
      <c r="R698" s="35"/>
      <c r="S698" s="7"/>
      <c r="T698" s="7"/>
      <c r="U698" s="7"/>
      <c r="X698" s="7"/>
      <c r="Y698" s="7"/>
      <c r="Z698" s="7"/>
      <c r="AA698" s="7"/>
    </row>
    <row r="699" spans="1:27" ht="15">
      <c r="A699" s="7"/>
      <c r="B699" s="32"/>
      <c r="D699" s="93"/>
      <c r="E699" s="93"/>
      <c r="I699" s="42"/>
      <c r="J699" s="42"/>
      <c r="K699" s="42"/>
      <c r="L699" s="42"/>
      <c r="M699" s="7"/>
      <c r="N699" s="7"/>
      <c r="O699" s="35"/>
      <c r="P699" s="35"/>
      <c r="Q699" s="35"/>
      <c r="R699" s="35"/>
      <c r="S699" s="7"/>
      <c r="T699" s="7"/>
      <c r="U699" s="7"/>
      <c r="X699" s="7"/>
      <c r="Y699" s="7"/>
      <c r="Z699" s="7"/>
      <c r="AA699" s="7"/>
    </row>
    <row r="700" spans="1:27" ht="15">
      <c r="A700" s="7"/>
      <c r="B700" s="32"/>
      <c r="D700" s="93"/>
      <c r="E700" s="93"/>
      <c r="I700" s="42"/>
      <c r="J700" s="42"/>
      <c r="K700" s="42"/>
      <c r="L700" s="42"/>
      <c r="M700" s="7"/>
      <c r="N700" s="7"/>
      <c r="O700" s="35"/>
      <c r="P700" s="35"/>
      <c r="Q700" s="35"/>
      <c r="R700" s="35"/>
      <c r="S700" s="7"/>
      <c r="T700" s="7"/>
      <c r="U700" s="7"/>
      <c r="X700" s="7"/>
      <c r="Y700" s="7"/>
      <c r="Z700" s="7"/>
      <c r="AA700" s="7"/>
    </row>
    <row r="701" spans="1:27" ht="15">
      <c r="A701" s="7"/>
      <c r="B701" s="32"/>
      <c r="D701" s="93"/>
      <c r="E701" s="93"/>
      <c r="I701" s="42"/>
      <c r="J701" s="42"/>
      <c r="K701" s="42"/>
      <c r="L701" s="42"/>
      <c r="M701" s="7"/>
      <c r="N701" s="7"/>
      <c r="O701" s="35"/>
      <c r="P701" s="35"/>
      <c r="Q701" s="35"/>
      <c r="R701" s="35"/>
      <c r="S701" s="7"/>
      <c r="T701" s="7"/>
      <c r="U701" s="7"/>
      <c r="X701" s="7"/>
      <c r="Y701" s="7"/>
      <c r="Z701" s="7"/>
      <c r="AA701" s="7"/>
    </row>
    <row r="702" spans="1:27" ht="15">
      <c r="A702" s="7"/>
      <c r="B702" s="32"/>
      <c r="D702" s="93"/>
      <c r="E702" s="93"/>
      <c r="I702" s="42"/>
      <c r="J702" s="42"/>
      <c r="K702" s="42"/>
      <c r="L702" s="42"/>
      <c r="M702" s="7"/>
      <c r="N702" s="7"/>
      <c r="O702" s="35"/>
      <c r="P702" s="35"/>
      <c r="Q702" s="35"/>
      <c r="R702" s="35"/>
      <c r="S702" s="7"/>
      <c r="T702" s="7"/>
      <c r="U702" s="7"/>
      <c r="X702" s="7"/>
      <c r="Y702" s="7"/>
      <c r="Z702" s="7"/>
      <c r="AA702" s="7"/>
    </row>
    <row r="703" spans="1:27" ht="15">
      <c r="A703" s="7"/>
      <c r="B703" s="32"/>
      <c r="D703" s="93"/>
      <c r="E703" s="93"/>
      <c r="I703" s="42"/>
      <c r="J703" s="42"/>
      <c r="K703" s="42"/>
      <c r="L703" s="42"/>
      <c r="M703" s="7"/>
      <c r="N703" s="7"/>
      <c r="O703" s="35"/>
      <c r="P703" s="35"/>
      <c r="Q703" s="35"/>
      <c r="R703" s="35"/>
      <c r="S703" s="7"/>
      <c r="T703" s="7"/>
      <c r="U703" s="7"/>
      <c r="X703" s="7"/>
      <c r="Y703" s="7"/>
      <c r="Z703" s="7"/>
      <c r="AA703" s="7"/>
    </row>
    <row r="704" spans="1:27" ht="15">
      <c r="A704" s="7"/>
      <c r="B704" s="32"/>
      <c r="D704" s="93"/>
      <c r="E704" s="93"/>
      <c r="I704" s="42"/>
      <c r="J704" s="42"/>
      <c r="K704" s="42"/>
      <c r="L704" s="42"/>
      <c r="M704" s="7"/>
      <c r="N704" s="7"/>
      <c r="O704" s="35"/>
      <c r="P704" s="35"/>
      <c r="Q704" s="35"/>
      <c r="R704" s="35"/>
      <c r="S704" s="7"/>
      <c r="T704" s="7"/>
      <c r="U704" s="7"/>
      <c r="X704" s="7"/>
      <c r="Y704" s="7"/>
      <c r="Z704" s="7"/>
      <c r="AA704" s="7"/>
    </row>
    <row r="705" spans="1:27" ht="15">
      <c r="A705" s="7"/>
      <c r="B705" s="32"/>
      <c r="D705" s="93"/>
      <c r="E705" s="93"/>
      <c r="I705" s="42"/>
      <c r="J705" s="42"/>
      <c r="K705" s="42"/>
      <c r="L705" s="42"/>
      <c r="M705" s="7"/>
      <c r="N705" s="7"/>
      <c r="O705" s="35"/>
      <c r="P705" s="35"/>
      <c r="Q705" s="35"/>
      <c r="R705" s="35"/>
      <c r="S705" s="7"/>
      <c r="T705" s="7"/>
      <c r="U705" s="7"/>
      <c r="X705" s="7"/>
      <c r="Y705" s="7"/>
      <c r="Z705" s="7"/>
      <c r="AA705" s="7"/>
    </row>
    <row r="706" spans="1:27" ht="15">
      <c r="A706" s="7"/>
      <c r="B706" s="32"/>
      <c r="D706" s="93"/>
      <c r="E706" s="93"/>
      <c r="I706" s="42"/>
      <c r="J706" s="42"/>
      <c r="K706" s="42"/>
      <c r="L706" s="42"/>
      <c r="M706" s="7"/>
      <c r="N706" s="7"/>
      <c r="O706" s="35"/>
      <c r="P706" s="35"/>
      <c r="Q706" s="35"/>
      <c r="R706" s="35"/>
      <c r="S706" s="7"/>
      <c r="T706" s="7"/>
      <c r="U706" s="7"/>
      <c r="X706" s="7"/>
      <c r="Y706" s="7"/>
      <c r="Z706" s="7"/>
      <c r="AA706" s="7"/>
    </row>
    <row r="707" spans="1:27" ht="15">
      <c r="A707" s="7"/>
      <c r="B707" s="32"/>
      <c r="D707" s="93"/>
      <c r="E707" s="93"/>
      <c r="I707" s="42"/>
      <c r="J707" s="42"/>
      <c r="K707" s="42"/>
      <c r="L707" s="42"/>
      <c r="M707" s="7"/>
      <c r="N707" s="7"/>
      <c r="O707" s="35"/>
      <c r="P707" s="35"/>
      <c r="Q707" s="35"/>
      <c r="R707" s="35"/>
      <c r="S707" s="7"/>
      <c r="T707" s="7"/>
      <c r="U707" s="7"/>
      <c r="X707" s="7"/>
      <c r="Y707" s="7"/>
      <c r="Z707" s="7"/>
      <c r="AA707" s="7"/>
    </row>
    <row r="708" spans="1:27" ht="15">
      <c r="A708" s="7"/>
      <c r="B708" s="32"/>
      <c r="D708" s="93"/>
      <c r="E708" s="93"/>
      <c r="I708" s="42"/>
      <c r="J708" s="42"/>
      <c r="K708" s="42"/>
      <c r="L708" s="42"/>
      <c r="M708" s="7"/>
      <c r="N708" s="7"/>
      <c r="O708" s="35"/>
      <c r="P708" s="35"/>
      <c r="Q708" s="35"/>
      <c r="R708" s="35"/>
      <c r="S708" s="7"/>
      <c r="T708" s="7"/>
      <c r="U708" s="7"/>
      <c r="X708" s="7"/>
      <c r="Y708" s="7"/>
      <c r="Z708" s="7"/>
      <c r="AA708" s="7"/>
    </row>
    <row r="709" spans="1:27" ht="15">
      <c r="A709" s="7"/>
      <c r="B709" s="32"/>
      <c r="D709" s="93"/>
      <c r="E709" s="93"/>
      <c r="I709" s="42"/>
      <c r="J709" s="42"/>
      <c r="K709" s="42"/>
      <c r="L709" s="42"/>
      <c r="M709" s="7"/>
      <c r="N709" s="7"/>
      <c r="O709" s="35"/>
      <c r="P709" s="35"/>
      <c r="Q709" s="35"/>
      <c r="R709" s="35"/>
      <c r="S709" s="7"/>
      <c r="T709" s="7"/>
      <c r="U709" s="7"/>
      <c r="X709" s="7"/>
      <c r="Y709" s="7"/>
      <c r="Z709" s="7"/>
      <c r="AA709" s="7"/>
    </row>
    <row r="710" spans="1:27" ht="15">
      <c r="A710" s="7"/>
      <c r="B710" s="32"/>
      <c r="D710" s="93"/>
      <c r="E710" s="93"/>
      <c r="I710" s="42"/>
      <c r="J710" s="42"/>
      <c r="K710" s="42"/>
      <c r="L710" s="42"/>
      <c r="M710" s="7"/>
      <c r="N710" s="7"/>
      <c r="O710" s="35"/>
      <c r="P710" s="35"/>
      <c r="Q710" s="35"/>
      <c r="R710" s="35"/>
      <c r="S710" s="7"/>
      <c r="T710" s="7"/>
      <c r="U710" s="7"/>
      <c r="X710" s="7"/>
      <c r="Y710" s="7"/>
      <c r="Z710" s="7"/>
      <c r="AA710" s="7"/>
    </row>
    <row r="711" spans="1:27" ht="15">
      <c r="A711" s="7"/>
      <c r="B711" s="32"/>
      <c r="D711" s="93"/>
      <c r="E711" s="93"/>
      <c r="I711" s="42"/>
      <c r="J711" s="42"/>
      <c r="K711" s="42"/>
      <c r="L711" s="42"/>
      <c r="M711" s="7"/>
      <c r="N711" s="7"/>
      <c r="O711" s="35"/>
      <c r="P711" s="35"/>
      <c r="Q711" s="35"/>
      <c r="R711" s="35"/>
      <c r="S711" s="7"/>
      <c r="T711" s="7"/>
      <c r="U711" s="7"/>
      <c r="X711" s="7"/>
      <c r="Y711" s="7"/>
      <c r="Z711" s="7"/>
      <c r="AA711" s="7"/>
    </row>
    <row r="712" spans="1:27" ht="15">
      <c r="A712" s="7"/>
      <c r="B712" s="32"/>
      <c r="D712" s="93"/>
      <c r="E712" s="93"/>
      <c r="I712" s="42"/>
      <c r="J712" s="42"/>
      <c r="K712" s="42"/>
      <c r="L712" s="42"/>
      <c r="M712" s="7"/>
      <c r="N712" s="7"/>
      <c r="O712" s="35"/>
      <c r="P712" s="35"/>
      <c r="Q712" s="35"/>
      <c r="R712" s="35"/>
      <c r="S712" s="7"/>
      <c r="T712" s="7"/>
      <c r="U712" s="7"/>
      <c r="X712" s="7"/>
      <c r="Y712" s="7"/>
      <c r="Z712" s="7"/>
      <c r="AA712" s="7"/>
    </row>
    <row r="713" spans="1:27" ht="15">
      <c r="A713" s="7"/>
      <c r="B713" s="32"/>
      <c r="D713" s="93"/>
      <c r="E713" s="93"/>
      <c r="I713" s="42"/>
      <c r="J713" s="42"/>
      <c r="K713" s="42"/>
      <c r="L713" s="42"/>
      <c r="M713" s="7"/>
      <c r="N713" s="7"/>
      <c r="O713" s="35"/>
      <c r="P713" s="35"/>
      <c r="Q713" s="35"/>
      <c r="R713" s="35"/>
      <c r="S713" s="7"/>
      <c r="T713" s="7"/>
      <c r="U713" s="7"/>
      <c r="X713" s="7"/>
      <c r="Y713" s="7"/>
      <c r="Z713" s="7"/>
      <c r="AA713" s="7"/>
    </row>
    <row r="714" spans="1:27" ht="15">
      <c r="A714" s="7"/>
      <c r="B714" s="32"/>
      <c r="D714" s="93"/>
      <c r="E714" s="93"/>
      <c r="I714" s="42"/>
      <c r="J714" s="42"/>
      <c r="K714" s="42"/>
      <c r="L714" s="42"/>
      <c r="M714" s="7"/>
      <c r="N714" s="7"/>
      <c r="O714" s="35"/>
      <c r="P714" s="35"/>
      <c r="Q714" s="35"/>
      <c r="R714" s="35"/>
      <c r="S714" s="7"/>
      <c r="T714" s="7"/>
      <c r="U714" s="7"/>
      <c r="X714" s="7"/>
      <c r="Y714" s="7"/>
      <c r="Z714" s="7"/>
      <c r="AA714" s="7"/>
    </row>
    <row r="715" spans="1:27" ht="15">
      <c r="A715" s="7"/>
      <c r="B715" s="32"/>
      <c r="D715" s="93"/>
      <c r="E715" s="93"/>
      <c r="I715" s="42"/>
      <c r="J715" s="42"/>
      <c r="K715" s="42"/>
      <c r="L715" s="42"/>
      <c r="M715" s="7"/>
      <c r="N715" s="7"/>
      <c r="O715" s="35"/>
      <c r="P715" s="35"/>
      <c r="Q715" s="35"/>
      <c r="R715" s="35"/>
      <c r="S715" s="7"/>
      <c r="T715" s="7"/>
      <c r="U715" s="7"/>
      <c r="X715" s="7"/>
      <c r="Y715" s="7"/>
      <c r="Z715" s="7"/>
      <c r="AA715" s="7"/>
    </row>
    <row r="716" spans="1:27" ht="15">
      <c r="A716" s="7"/>
      <c r="B716" s="32"/>
      <c r="D716" s="93"/>
      <c r="E716" s="93"/>
      <c r="I716" s="42"/>
      <c r="J716" s="42"/>
      <c r="K716" s="42"/>
      <c r="L716" s="42"/>
      <c r="M716" s="7"/>
      <c r="N716" s="7"/>
      <c r="O716" s="35"/>
      <c r="P716" s="35"/>
      <c r="Q716" s="35"/>
      <c r="R716" s="35"/>
      <c r="S716" s="7"/>
      <c r="T716" s="7"/>
      <c r="U716" s="7"/>
      <c r="X716" s="7"/>
      <c r="Y716" s="7"/>
      <c r="Z716" s="7"/>
      <c r="AA716" s="7"/>
    </row>
    <row r="717" spans="1:27" ht="15">
      <c r="A717" s="7"/>
      <c r="B717" s="32"/>
      <c r="D717" s="93"/>
      <c r="E717" s="93"/>
      <c r="I717" s="42"/>
      <c r="J717" s="42"/>
      <c r="K717" s="42"/>
      <c r="L717" s="42"/>
      <c r="M717" s="7"/>
      <c r="N717" s="7"/>
      <c r="O717" s="35"/>
      <c r="P717" s="35"/>
      <c r="Q717" s="35"/>
      <c r="R717" s="35"/>
      <c r="S717" s="7"/>
      <c r="T717" s="7"/>
      <c r="U717" s="7"/>
      <c r="X717" s="7"/>
      <c r="Y717" s="7"/>
      <c r="Z717" s="7"/>
      <c r="AA717" s="7"/>
    </row>
    <row r="718" spans="1:27" ht="15">
      <c r="A718" s="7"/>
      <c r="B718" s="32"/>
      <c r="D718" s="93"/>
      <c r="E718" s="93"/>
      <c r="I718" s="42"/>
      <c r="J718" s="42"/>
      <c r="K718" s="42"/>
      <c r="L718" s="42"/>
      <c r="M718" s="7"/>
      <c r="N718" s="7"/>
      <c r="O718" s="35"/>
      <c r="P718" s="35"/>
      <c r="Q718" s="35"/>
      <c r="R718" s="35"/>
      <c r="S718" s="7"/>
      <c r="T718" s="7"/>
      <c r="U718" s="7"/>
      <c r="X718" s="7"/>
      <c r="Y718" s="7"/>
      <c r="Z718" s="7"/>
      <c r="AA718" s="7"/>
    </row>
    <row r="719" spans="1:27" ht="15">
      <c r="A719" s="7"/>
      <c r="B719" s="32"/>
      <c r="D719" s="93"/>
      <c r="E719" s="93"/>
      <c r="I719" s="42"/>
      <c r="J719" s="42"/>
      <c r="K719" s="42"/>
      <c r="L719" s="42"/>
      <c r="M719" s="7"/>
      <c r="N719" s="7"/>
      <c r="O719" s="35"/>
      <c r="P719" s="35"/>
      <c r="Q719" s="35"/>
      <c r="R719" s="35"/>
      <c r="S719" s="7"/>
      <c r="T719" s="7"/>
      <c r="U719" s="7"/>
      <c r="X719" s="7"/>
      <c r="Y719" s="7"/>
      <c r="Z719" s="7"/>
      <c r="AA719" s="7"/>
    </row>
    <row r="720" spans="1:27" ht="15">
      <c r="A720" s="7"/>
      <c r="B720" s="32"/>
      <c r="D720" s="93"/>
      <c r="E720" s="93"/>
      <c r="I720" s="42"/>
      <c r="J720" s="42"/>
      <c r="K720" s="42"/>
      <c r="L720" s="42"/>
      <c r="M720" s="7"/>
      <c r="N720" s="7"/>
      <c r="O720" s="35"/>
      <c r="P720" s="35"/>
      <c r="Q720" s="35"/>
      <c r="R720" s="35"/>
      <c r="S720" s="7"/>
      <c r="T720" s="7"/>
      <c r="U720" s="7"/>
      <c r="X720" s="7"/>
      <c r="Y720" s="7"/>
      <c r="Z720" s="7"/>
      <c r="AA720" s="7"/>
    </row>
    <row r="721" spans="1:27" ht="15">
      <c r="A721" s="7"/>
      <c r="B721" s="32"/>
      <c r="D721" s="93"/>
      <c r="E721" s="93"/>
      <c r="I721" s="42"/>
      <c r="J721" s="42"/>
      <c r="K721" s="42"/>
      <c r="L721" s="42"/>
      <c r="M721" s="7"/>
      <c r="N721" s="7"/>
      <c r="O721" s="35"/>
      <c r="P721" s="35"/>
      <c r="Q721" s="35"/>
      <c r="R721" s="35"/>
      <c r="S721" s="7"/>
      <c r="T721" s="7"/>
      <c r="U721" s="7"/>
      <c r="X721" s="7"/>
      <c r="Y721" s="7"/>
      <c r="Z721" s="7"/>
      <c r="AA721" s="7"/>
    </row>
    <row r="722" spans="1:27" ht="15">
      <c r="A722" s="7"/>
      <c r="B722" s="32"/>
      <c r="D722" s="93"/>
      <c r="E722" s="93"/>
      <c r="I722" s="42"/>
      <c r="J722" s="42"/>
      <c r="K722" s="42"/>
      <c r="L722" s="42"/>
      <c r="M722" s="7"/>
      <c r="N722" s="7"/>
      <c r="O722" s="35"/>
      <c r="P722" s="35"/>
      <c r="Q722" s="35"/>
      <c r="R722" s="35"/>
      <c r="S722" s="7"/>
      <c r="T722" s="7"/>
      <c r="U722" s="7"/>
      <c r="X722" s="7"/>
      <c r="Y722" s="7"/>
      <c r="Z722" s="7"/>
      <c r="AA722" s="7"/>
    </row>
    <row r="723" spans="1:27" ht="15">
      <c r="A723" s="7"/>
      <c r="B723" s="32"/>
      <c r="D723" s="93"/>
      <c r="E723" s="93"/>
      <c r="I723" s="42"/>
      <c r="J723" s="42"/>
      <c r="K723" s="42"/>
      <c r="L723" s="42"/>
      <c r="M723" s="7"/>
      <c r="N723" s="7"/>
      <c r="O723" s="35"/>
      <c r="P723" s="35"/>
      <c r="Q723" s="35"/>
      <c r="R723" s="35"/>
      <c r="S723" s="7"/>
      <c r="T723" s="7"/>
      <c r="U723" s="7"/>
      <c r="X723" s="7"/>
      <c r="Y723" s="7"/>
      <c r="Z723" s="7"/>
      <c r="AA723" s="7"/>
    </row>
    <row r="724" spans="1:27" ht="15">
      <c r="A724" s="7"/>
      <c r="B724" s="32"/>
      <c r="D724" s="93"/>
      <c r="E724" s="93"/>
      <c r="I724" s="42"/>
      <c r="J724" s="42"/>
      <c r="K724" s="42"/>
      <c r="L724" s="42"/>
      <c r="M724" s="7"/>
      <c r="N724" s="7"/>
      <c r="O724" s="35"/>
      <c r="P724" s="35"/>
      <c r="Q724" s="35"/>
      <c r="R724" s="35"/>
      <c r="S724" s="7"/>
      <c r="T724" s="7"/>
      <c r="U724" s="7"/>
      <c r="X724" s="7"/>
      <c r="Y724" s="7"/>
      <c r="Z724" s="7"/>
      <c r="AA724" s="7"/>
    </row>
    <row r="725" spans="1:27" ht="15">
      <c r="A725" s="7"/>
      <c r="B725" s="32"/>
      <c r="D725" s="93"/>
      <c r="E725" s="93"/>
      <c r="I725" s="42"/>
      <c r="J725" s="42"/>
      <c r="K725" s="42"/>
      <c r="L725" s="42"/>
      <c r="M725" s="7"/>
      <c r="N725" s="7"/>
      <c r="O725" s="35"/>
      <c r="P725" s="35"/>
      <c r="Q725" s="35"/>
      <c r="R725" s="35"/>
      <c r="S725" s="7"/>
      <c r="T725" s="7"/>
      <c r="U725" s="7"/>
      <c r="X725" s="7"/>
      <c r="Y725" s="7"/>
      <c r="Z725" s="7"/>
      <c r="AA725" s="7"/>
    </row>
    <row r="726" spans="1:27" ht="15">
      <c r="A726" s="7"/>
      <c r="B726" s="32"/>
      <c r="D726" s="93"/>
      <c r="E726" s="93"/>
      <c r="I726" s="42"/>
      <c r="J726" s="42"/>
      <c r="K726" s="42"/>
      <c r="L726" s="42"/>
      <c r="M726" s="7"/>
      <c r="N726" s="7"/>
      <c r="O726" s="35"/>
      <c r="P726" s="35"/>
      <c r="Q726" s="35"/>
      <c r="R726" s="35"/>
      <c r="S726" s="7"/>
      <c r="T726" s="7"/>
      <c r="U726" s="7"/>
      <c r="X726" s="7"/>
      <c r="Y726" s="7"/>
      <c r="Z726" s="7"/>
      <c r="AA726" s="7"/>
    </row>
    <row r="727" spans="1:27" ht="15">
      <c r="A727" s="7"/>
      <c r="B727" s="32"/>
      <c r="D727" s="93"/>
      <c r="E727" s="93"/>
      <c r="I727" s="42"/>
      <c r="J727" s="42"/>
      <c r="K727" s="42"/>
      <c r="L727" s="42"/>
      <c r="M727" s="7"/>
      <c r="N727" s="7"/>
      <c r="O727" s="35"/>
      <c r="P727" s="35"/>
      <c r="Q727" s="35"/>
      <c r="R727" s="35"/>
      <c r="S727" s="7"/>
      <c r="T727" s="7"/>
      <c r="U727" s="7"/>
      <c r="X727" s="7"/>
      <c r="Y727" s="7"/>
      <c r="Z727" s="7"/>
      <c r="AA727" s="7"/>
    </row>
    <row r="728" spans="1:27" ht="15">
      <c r="A728" s="7"/>
      <c r="B728" s="32"/>
      <c r="D728" s="93"/>
      <c r="E728" s="93"/>
      <c r="I728" s="42"/>
      <c r="J728" s="42"/>
      <c r="K728" s="42"/>
      <c r="L728" s="42"/>
      <c r="M728" s="7"/>
      <c r="N728" s="7"/>
      <c r="O728" s="35"/>
      <c r="P728" s="35"/>
      <c r="Q728" s="35"/>
      <c r="R728" s="35"/>
      <c r="S728" s="7"/>
      <c r="T728" s="7"/>
      <c r="U728" s="7"/>
      <c r="X728" s="7"/>
      <c r="Y728" s="7"/>
      <c r="Z728" s="7"/>
      <c r="AA728" s="7"/>
    </row>
    <row r="729" spans="1:27" ht="15">
      <c r="A729" s="7"/>
      <c r="B729" s="32"/>
      <c r="D729" s="93"/>
      <c r="E729" s="93"/>
      <c r="I729" s="42"/>
      <c r="J729" s="42"/>
      <c r="K729" s="42"/>
      <c r="L729" s="42"/>
      <c r="M729" s="7"/>
      <c r="N729" s="7"/>
      <c r="O729" s="35"/>
      <c r="P729" s="35"/>
      <c r="Q729" s="35"/>
      <c r="R729" s="35"/>
      <c r="S729" s="7"/>
      <c r="T729" s="7"/>
      <c r="U729" s="7"/>
      <c r="X729" s="7"/>
      <c r="Y729" s="7"/>
      <c r="Z729" s="7"/>
      <c r="AA729" s="7"/>
    </row>
    <row r="730" spans="1:27" ht="15">
      <c r="A730" s="7"/>
      <c r="B730" s="32"/>
      <c r="D730" s="93"/>
      <c r="E730" s="93"/>
      <c r="I730" s="42"/>
      <c r="J730" s="42"/>
      <c r="K730" s="42"/>
      <c r="L730" s="42"/>
      <c r="M730" s="7"/>
      <c r="N730" s="7"/>
      <c r="O730" s="35"/>
      <c r="P730" s="35"/>
      <c r="Q730" s="35"/>
      <c r="R730" s="35"/>
      <c r="S730" s="7"/>
      <c r="T730" s="7"/>
      <c r="U730" s="7"/>
      <c r="X730" s="7"/>
      <c r="Y730" s="7"/>
      <c r="Z730" s="7"/>
      <c r="AA730" s="7"/>
    </row>
    <row r="731" spans="1:27" ht="15">
      <c r="A731" s="7"/>
      <c r="B731" s="32"/>
      <c r="D731" s="93"/>
      <c r="E731" s="93"/>
      <c r="I731" s="42"/>
      <c r="J731" s="42"/>
      <c r="K731" s="42"/>
      <c r="L731" s="42"/>
      <c r="M731" s="7"/>
      <c r="N731" s="7"/>
      <c r="O731" s="35"/>
      <c r="P731" s="35"/>
      <c r="Q731" s="35"/>
      <c r="R731" s="35"/>
      <c r="S731" s="7"/>
      <c r="T731" s="7"/>
      <c r="U731" s="7"/>
      <c r="X731" s="7"/>
      <c r="Y731" s="7"/>
      <c r="Z731" s="7"/>
      <c r="AA731" s="7"/>
    </row>
    <row r="732" spans="1:27" ht="15">
      <c r="A732" s="7"/>
      <c r="B732" s="32"/>
      <c r="D732" s="93"/>
      <c r="E732" s="93"/>
      <c r="I732" s="42"/>
      <c r="J732" s="42"/>
      <c r="K732" s="42"/>
      <c r="L732" s="42"/>
      <c r="M732" s="7"/>
      <c r="N732" s="7"/>
      <c r="O732" s="35"/>
      <c r="P732" s="35"/>
      <c r="Q732" s="35"/>
      <c r="R732" s="35"/>
      <c r="S732" s="7"/>
      <c r="T732" s="7"/>
      <c r="U732" s="7"/>
      <c r="X732" s="7"/>
      <c r="Y732" s="7"/>
      <c r="Z732" s="7"/>
      <c r="AA732" s="7"/>
    </row>
    <row r="733" spans="1:27" ht="15">
      <c r="A733" s="7"/>
      <c r="B733" s="32"/>
      <c r="D733" s="93"/>
      <c r="E733" s="93"/>
      <c r="I733" s="42"/>
      <c r="J733" s="42"/>
      <c r="K733" s="42"/>
      <c r="L733" s="42"/>
      <c r="M733" s="7"/>
      <c r="N733" s="7"/>
      <c r="O733" s="35"/>
      <c r="P733" s="35"/>
      <c r="Q733" s="35"/>
      <c r="R733" s="35"/>
      <c r="S733" s="7"/>
      <c r="T733" s="7"/>
      <c r="U733" s="7"/>
      <c r="X733" s="7"/>
      <c r="Y733" s="7"/>
      <c r="Z733" s="7"/>
      <c r="AA733" s="7"/>
    </row>
    <row r="734" spans="1:27" ht="15">
      <c r="A734" s="7"/>
      <c r="B734" s="32"/>
      <c r="D734" s="93"/>
      <c r="E734" s="93"/>
      <c r="I734" s="42"/>
      <c r="J734" s="42"/>
      <c r="K734" s="42"/>
      <c r="L734" s="42"/>
      <c r="M734" s="7"/>
      <c r="N734" s="7"/>
      <c r="O734" s="35"/>
      <c r="P734" s="35"/>
      <c r="Q734" s="35"/>
      <c r="R734" s="35"/>
      <c r="S734" s="7"/>
      <c r="T734" s="7"/>
      <c r="U734" s="7"/>
      <c r="X734" s="7"/>
      <c r="Y734" s="7"/>
      <c r="Z734" s="7"/>
      <c r="AA734" s="7"/>
    </row>
    <row r="735" spans="1:27" ht="15">
      <c r="A735" s="7"/>
      <c r="B735" s="32"/>
      <c r="D735" s="93"/>
      <c r="E735" s="93"/>
      <c r="I735" s="42"/>
      <c r="J735" s="42"/>
      <c r="K735" s="42"/>
      <c r="L735" s="42"/>
      <c r="M735" s="7"/>
      <c r="N735" s="7"/>
      <c r="O735" s="35"/>
      <c r="P735" s="35"/>
      <c r="Q735" s="35"/>
      <c r="R735" s="35"/>
      <c r="S735" s="7"/>
      <c r="T735" s="7"/>
      <c r="U735" s="7"/>
      <c r="X735" s="7"/>
      <c r="Y735" s="7"/>
      <c r="Z735" s="7"/>
      <c r="AA735" s="7"/>
    </row>
    <row r="736" spans="1:27" ht="15">
      <c r="A736" s="7"/>
      <c r="B736" s="32"/>
      <c r="D736" s="93"/>
      <c r="E736" s="93"/>
      <c r="I736" s="42"/>
      <c r="J736" s="42"/>
      <c r="K736" s="42"/>
      <c r="L736" s="42"/>
      <c r="M736" s="7"/>
      <c r="N736" s="7"/>
      <c r="O736" s="35"/>
      <c r="P736" s="35"/>
      <c r="Q736" s="35"/>
      <c r="R736" s="35"/>
      <c r="S736" s="7"/>
      <c r="T736" s="7"/>
      <c r="U736" s="7"/>
      <c r="X736" s="7"/>
      <c r="Y736" s="7"/>
      <c r="Z736" s="7"/>
      <c r="AA736" s="7"/>
    </row>
    <row r="737" spans="1:27" ht="15">
      <c r="A737" s="7"/>
      <c r="B737" s="32"/>
      <c r="D737" s="93"/>
      <c r="E737" s="93"/>
      <c r="I737" s="42"/>
      <c r="J737" s="42"/>
      <c r="K737" s="42"/>
      <c r="L737" s="42"/>
      <c r="M737" s="7"/>
      <c r="N737" s="7"/>
      <c r="O737" s="35"/>
      <c r="P737" s="35"/>
      <c r="Q737" s="35"/>
      <c r="R737" s="35"/>
      <c r="S737" s="7"/>
      <c r="T737" s="7"/>
      <c r="U737" s="7"/>
      <c r="X737" s="7"/>
      <c r="Y737" s="7"/>
      <c r="Z737" s="7"/>
      <c r="AA737" s="7"/>
    </row>
  </sheetData>
  <sheetProtection/>
  <mergeCells count="95">
    <mergeCell ref="A196:K196"/>
    <mergeCell ref="A426:B426"/>
    <mergeCell ref="A481:B481"/>
    <mergeCell ref="A482:M482"/>
    <mergeCell ref="A509:M509"/>
    <mergeCell ref="Q175:Q176"/>
    <mergeCell ref="Q229:Q230"/>
    <mergeCell ref="J247:J248"/>
    <mergeCell ref="N247:N248"/>
    <mergeCell ref="Q246:Q248"/>
    <mergeCell ref="L248:M248"/>
    <mergeCell ref="A231:K231"/>
    <mergeCell ref="C248:H248"/>
    <mergeCell ref="C229:J229"/>
    <mergeCell ref="K229:K230"/>
    <mergeCell ref="A242:K242"/>
    <mergeCell ref="A238:K238"/>
    <mergeCell ref="Q109:Q110"/>
    <mergeCell ref="A208:K208"/>
    <mergeCell ref="K175:K176"/>
    <mergeCell ref="L175:O175"/>
    <mergeCell ref="L229:O229"/>
    <mergeCell ref="Q6:Q7"/>
    <mergeCell ref="Q48:Q49"/>
    <mergeCell ref="A249:Q249"/>
    <mergeCell ref="I247:I248"/>
    <mergeCell ref="A158:K158"/>
    <mergeCell ref="A177:K177"/>
    <mergeCell ref="L246:O246"/>
    <mergeCell ref="A175:B176"/>
    <mergeCell ref="C175:J175"/>
    <mergeCell ref="A229:B230"/>
    <mergeCell ref="A109:B110"/>
    <mergeCell ref="C109:J109"/>
    <mergeCell ref="L6:O6"/>
    <mergeCell ref="A48:B49"/>
    <mergeCell ref="C48:J48"/>
    <mergeCell ref="K48:K49"/>
    <mergeCell ref="A111:K111"/>
    <mergeCell ref="A6:B7"/>
    <mergeCell ref="C6:J6"/>
    <mergeCell ref="K6:K7"/>
    <mergeCell ref="L48:O48"/>
    <mergeCell ref="A89:K89"/>
    <mergeCell ref="A61:K61"/>
    <mergeCell ref="A50:K50"/>
    <mergeCell ref="K109:K110"/>
    <mergeCell ref="L109:O109"/>
    <mergeCell ref="A337:M337"/>
    <mergeCell ref="I403:P403"/>
    <mergeCell ref="B314:I314"/>
    <mergeCell ref="B317:I317"/>
    <mergeCell ref="A336:B336"/>
    <mergeCell ref="A345:M345"/>
    <mergeCell ref="A357:B357"/>
    <mergeCell ref="I402:P402"/>
    <mergeCell ref="I401:P401"/>
    <mergeCell ref="I389:P389"/>
    <mergeCell ref="I400:P400"/>
    <mergeCell ref="I399:P399"/>
    <mergeCell ref="I388:P388"/>
    <mergeCell ref="I390:P390"/>
    <mergeCell ref="I395:P395"/>
    <mergeCell ref="A438:B438"/>
    <mergeCell ref="I394:P394"/>
    <mergeCell ref="A131:K131"/>
    <mergeCell ref="A459:M459"/>
    <mergeCell ref="A468:M468"/>
    <mergeCell ref="A452:B452"/>
    <mergeCell ref="A253:Q253"/>
    <mergeCell ref="Q282:Q283"/>
    <mergeCell ref="Q405:Q406"/>
    <mergeCell ref="A405:B406"/>
    <mergeCell ref="C405:K405"/>
    <mergeCell ref="L405:O405"/>
    <mergeCell ref="Q303:Q304"/>
    <mergeCell ref="A282:B283"/>
    <mergeCell ref="L282:O282"/>
    <mergeCell ref="B320:I320"/>
    <mergeCell ref="I393:P393"/>
    <mergeCell ref="A267:K267"/>
    <mergeCell ref="A386:B386"/>
    <mergeCell ref="A303:B304"/>
    <mergeCell ref="C303:K303"/>
    <mergeCell ref="L303:O303"/>
    <mergeCell ref="I397:P397"/>
    <mergeCell ref="I398:P398"/>
    <mergeCell ref="A246:B248"/>
    <mergeCell ref="K246:K248"/>
    <mergeCell ref="C246:J246"/>
    <mergeCell ref="C282:J282"/>
    <mergeCell ref="K282:K283"/>
    <mergeCell ref="I396:P396"/>
    <mergeCell ref="A366:M366"/>
    <mergeCell ref="I386:P386"/>
  </mergeCells>
  <printOptions verticalCentered="1"/>
  <pageMargins left="0.2362204724409449" right="0.07874015748031496" top="0.3937007874015748" bottom="0.4724409448818898" header="0.31496062992125984" footer="0.4724409448818898"/>
  <pageSetup horizontalDpi="600" verticalDpi="600" orientation="landscape" paperSize="8" scale="59" r:id="rId1"/>
  <rowBreaks count="9" manualBreakCount="9">
    <brk id="47" max="255" man="1"/>
    <brk id="107" max="255" man="1"/>
    <brk id="173" max="255" man="1"/>
    <brk id="244" max="255" man="1"/>
    <brk id="302" max="255" man="1"/>
    <brk id="335" max="255" man="1"/>
    <brk id="403" max="255" man="1"/>
    <brk id="436" max="255" man="1"/>
    <brk id="450" max="255" man="1"/>
  </rowBreaks>
  <colBreaks count="1" manualBreakCount="1">
    <brk id="18" max="65535" man="1"/>
  </colBreaks>
</worksheet>
</file>

<file path=xl/worksheets/sheet5.xml><?xml version="1.0" encoding="utf-8"?>
<worksheet xmlns="http://schemas.openxmlformats.org/spreadsheetml/2006/main" xmlns:r="http://schemas.openxmlformats.org/officeDocument/2006/relationships">
  <dimension ref="A1:Q44"/>
  <sheetViews>
    <sheetView showZeros="0" zoomScale="60" zoomScaleNormal="60" zoomScalePageLayoutView="0" workbookViewId="0" topLeftCell="A1">
      <selection activeCell="B15" sqref="B15"/>
    </sheetView>
  </sheetViews>
  <sheetFormatPr defaultColWidth="9.140625" defaultRowHeight="15"/>
  <cols>
    <col min="1" max="1" width="15.8515625" style="0" customWidth="1"/>
    <col min="2" max="2" width="99.7109375" style="0" customWidth="1"/>
    <col min="3" max="3" width="12.421875" style="0" customWidth="1"/>
    <col min="4" max="4" width="13.7109375" style="0" customWidth="1"/>
    <col min="5" max="5" width="14.8515625" style="0" customWidth="1"/>
    <col min="6" max="6" width="11.7109375" style="0" customWidth="1"/>
    <col min="7" max="7" width="13.8515625" style="0" customWidth="1"/>
    <col min="8" max="9" width="12.57421875" style="0" customWidth="1"/>
    <col min="10" max="10" width="14.140625" style="0" customWidth="1"/>
    <col min="11" max="11" width="15.00390625" style="0" customWidth="1"/>
    <col min="12" max="12" width="12.00390625" style="0" customWidth="1"/>
    <col min="13" max="13" width="14.140625" style="0" customWidth="1"/>
    <col min="14" max="14" width="12.00390625" style="0" customWidth="1"/>
    <col min="15" max="15" width="12.7109375" style="0" customWidth="1"/>
    <col min="16" max="17" width="17.7109375" style="0" customWidth="1"/>
  </cols>
  <sheetData>
    <row r="1" ht="15">
      <c r="A1" t="str">
        <f>Ref_table!A2</f>
        <v>SECA - Simplified Ecosystem Capital Accounts</v>
      </c>
    </row>
    <row r="2" ht="15.75" thickBot="1">
      <c r="A2" s="93" t="str">
        <f>Ref_table!A3</f>
        <v>Draft Tables and Mock-up</v>
      </c>
    </row>
    <row r="3" spans="1:17" ht="15">
      <c r="A3" s="1093" t="str">
        <f>Ref_table!A6</f>
        <v>[A] Land cover &amp; landscape basic account </v>
      </c>
      <c r="B3" s="1094">
        <f>Ref_table!B6</f>
        <v>0</v>
      </c>
      <c r="C3" s="1097" t="str">
        <f>Ref_table!C6</f>
        <v>Inland ecosystem landscapes</v>
      </c>
      <c r="D3" s="1097">
        <f>Ref_table!D6</f>
        <v>0</v>
      </c>
      <c r="E3" s="1097">
        <f>Ref_table!E6</f>
        <v>0</v>
      </c>
      <c r="F3" s="1097">
        <f>Ref_table!F6</f>
        <v>0</v>
      </c>
      <c r="G3" s="1097">
        <f>Ref_table!G6</f>
        <v>0</v>
      </c>
      <c r="H3" s="1097">
        <f>Ref_table!H6</f>
        <v>0</v>
      </c>
      <c r="I3" s="1097">
        <f>Ref_table!I6</f>
        <v>0</v>
      </c>
      <c r="J3" s="1097">
        <f>Ref_table!J6</f>
        <v>0</v>
      </c>
      <c r="K3" s="1048" t="str">
        <f>Ref_table!K6</f>
        <v>TOTAL 1 inland ecosystems</v>
      </c>
      <c r="L3" s="1098" t="str">
        <f>Ref_table!L6</f>
        <v>Sea</v>
      </c>
      <c r="M3" s="1097">
        <f>Ref_table!M6</f>
        <v>0</v>
      </c>
      <c r="N3" s="1097">
        <f>Ref_table!N6</f>
        <v>0</v>
      </c>
      <c r="O3" s="1099">
        <f>Ref_table!O6</f>
        <v>0</v>
      </c>
      <c r="P3" s="370" t="str">
        <f>Ref_table!P6</f>
        <v>Atmosphere</v>
      </c>
      <c r="Q3" s="1053" t="str">
        <f>Ref_table!Q6</f>
        <v>GRAND TOTAL</v>
      </c>
    </row>
    <row r="4" spans="1:17" ht="105.75" thickBot="1">
      <c r="A4" s="1095">
        <f>Ref_table!A7</f>
        <v>0</v>
      </c>
      <c r="B4" s="1096">
        <f>Ref_table!B7</f>
        <v>0</v>
      </c>
      <c r="C4" s="155" t="str">
        <f>Ref_table!C7</f>
        <v>Dominant urban landscape</v>
      </c>
      <c r="D4" s="155" t="str">
        <f>Ref_table!D7</f>
        <v>Dominant agriculture/ cropland</v>
      </c>
      <c r="E4" s="155" t="str">
        <f>Ref_table!E7</f>
        <v>Dominant agriculture/ mixed landscape</v>
      </c>
      <c r="F4" s="155" t="str">
        <f>Ref_table!F7</f>
        <v>Dominant forested landscape</v>
      </c>
      <c r="G4" s="155" t="str">
        <f>Ref_table!G7</f>
        <v>Other dominant natural landscape</v>
      </c>
      <c r="H4" s="155" t="str">
        <f>Ref_table!H7</f>
        <v>Composite landscape</v>
      </c>
      <c r="I4" s="1026" t="str">
        <f>Ref_table!I7</f>
        <v>TOTAL     Land</v>
      </c>
      <c r="J4" s="156" t="str">
        <f>Ref_table!J7</f>
        <v>River systems - srkm</v>
      </c>
      <c r="K4" s="1049">
        <f>Ref_table!K7</f>
        <v>0</v>
      </c>
      <c r="L4" s="353" t="str">
        <f>Ref_table!L7</f>
        <v>Fisheries (EEZ, all fishing areas)</v>
      </c>
      <c r="M4" s="152" t="str">
        <f>Ref_table!M7</f>
        <v>International fishing areas</v>
      </c>
      <c r="N4" s="354" t="str">
        <f>Ref_table!N7</f>
        <v>TOTAL  Fisheries</v>
      </c>
      <c r="O4" s="708" t="str">
        <f>Ref_table!O7</f>
        <v>Regulation potential (C assimilation)</v>
      </c>
      <c r="P4" s="371" t="str">
        <f>Ref_table!P7</f>
        <v>Regulation potential (C assimilation)</v>
      </c>
      <c r="Q4" s="1107">
        <f>Ref_table!Q7</f>
        <v>0</v>
      </c>
    </row>
    <row r="5" spans="1:17" ht="15.75">
      <c r="A5" s="253" t="str">
        <f>Ref_table!A8</f>
        <v>A1</v>
      </c>
      <c r="B5" s="254" t="str">
        <f>Ref_table!B8</f>
        <v>Total EU27 1990, km^2</v>
      </c>
      <c r="C5" s="164">
        <f>Ref_table!C8</f>
        <v>351210.1</v>
      </c>
      <c r="D5" s="164">
        <f>Ref_table!D8</f>
        <v>755804.99</v>
      </c>
      <c r="E5" s="164">
        <f>Ref_table!E8</f>
        <v>591091.8</v>
      </c>
      <c r="F5" s="164">
        <f>Ref_table!F8</f>
        <v>680760.12</v>
      </c>
      <c r="G5" s="164">
        <f>Ref_table!G8</f>
        <v>432991.19</v>
      </c>
      <c r="H5" s="164">
        <f>Ref_table!H8</f>
        <v>1512894.87</v>
      </c>
      <c r="I5" s="164">
        <f>Ref_table!I8</f>
        <v>4324753.07</v>
      </c>
      <c r="J5" s="257">
        <f>Ref_table!J8</f>
        <v>85527</v>
      </c>
      <c r="K5" s="166">
        <f>Ref_table!K8</f>
        <v>4324753.07</v>
      </c>
      <c r="L5" s="544" t="str">
        <f>Ref_table!L8</f>
        <v>[20000000]</v>
      </c>
      <c r="M5" s="544">
        <f>Ref_table!M8</f>
        <v>0</v>
      </c>
      <c r="N5" s="544">
        <f>Ref_table!N8</f>
        <v>0</v>
      </c>
      <c r="O5" s="545" t="str">
        <f>Ref_table!O8</f>
        <v>[20000000]</v>
      </c>
      <c r="P5" s="546">
        <f>Ref_table!P8</f>
        <v>0</v>
      </c>
      <c r="Q5" s="468">
        <f>Ref_table!Q8</f>
        <v>0</v>
      </c>
    </row>
    <row r="6" spans="1:17" ht="15">
      <c r="A6" s="125" t="str">
        <f>Ref_table!A9</f>
        <v>a11</v>
      </c>
      <c r="B6" s="92" t="str">
        <f>Ref_table!B9</f>
        <v>1 Artificial surfaces</v>
      </c>
      <c r="C6" s="4">
        <f>Ref_table!C9</f>
        <v>102011.43</v>
      </c>
      <c r="D6" s="4">
        <f>Ref_table!D9</f>
        <v>20245.44</v>
      </c>
      <c r="E6" s="4">
        <f>Ref_table!E9</f>
        <v>11432.47</v>
      </c>
      <c r="F6" s="4">
        <f>Ref_table!F9</f>
        <v>5342.28</v>
      </c>
      <c r="G6" s="4">
        <f>Ref_table!G9</f>
        <v>2912.93</v>
      </c>
      <c r="H6" s="4">
        <f>Ref_table!H9</f>
        <v>34546.29</v>
      </c>
      <c r="I6" s="137">
        <f>Ref_table!I9</f>
        <v>176490.84</v>
      </c>
      <c r="J6" s="13">
        <f>Ref_table!J9</f>
        <v>0</v>
      </c>
      <c r="K6" s="262">
        <f>Ref_table!K9</f>
        <v>176490.84</v>
      </c>
      <c r="L6" s="118">
        <f>Ref_table!L9</f>
        <v>0</v>
      </c>
      <c r="M6" s="118">
        <f>Ref_table!M9</f>
        <v>0</v>
      </c>
      <c r="N6" s="547">
        <f>Ref_table!N9</f>
        <v>0</v>
      </c>
      <c r="O6" s="130">
        <f>Ref_table!O9</f>
        <v>0</v>
      </c>
      <c r="P6" s="463">
        <f>Ref_table!P9</f>
        <v>0</v>
      </c>
      <c r="Q6" s="469">
        <f>Ref_table!Q9</f>
        <v>0</v>
      </c>
    </row>
    <row r="7" spans="1:17" ht="15">
      <c r="A7" s="125" t="str">
        <f>Ref_table!A10</f>
        <v>a12</v>
      </c>
      <c r="B7" s="92" t="str">
        <f>Ref_table!B10</f>
        <v>2A Arable land &amp; permanent crops</v>
      </c>
      <c r="C7" s="4">
        <f>Ref_table!C10</f>
        <v>94416.5</v>
      </c>
      <c r="D7" s="4">
        <f>Ref_table!D10</f>
        <v>598596.04</v>
      </c>
      <c r="E7" s="4">
        <f>Ref_table!E10</f>
        <v>82552.04</v>
      </c>
      <c r="F7" s="4">
        <f>Ref_table!F10</f>
        <v>26101.82</v>
      </c>
      <c r="G7" s="4">
        <f>Ref_table!G10</f>
        <v>26507.38</v>
      </c>
      <c r="H7" s="4">
        <f>Ref_table!H10</f>
        <v>388138.43</v>
      </c>
      <c r="I7" s="137">
        <f>Ref_table!I10</f>
        <v>1216312.21</v>
      </c>
      <c r="J7" s="13">
        <f>Ref_table!J10</f>
        <v>0</v>
      </c>
      <c r="K7" s="262">
        <f>Ref_table!K10</f>
        <v>1216312.21</v>
      </c>
      <c r="L7" s="118">
        <f>Ref_table!L10</f>
        <v>0</v>
      </c>
      <c r="M7" s="118">
        <f>Ref_table!M10</f>
        <v>0</v>
      </c>
      <c r="N7" s="547">
        <f>Ref_table!N10</f>
        <v>0</v>
      </c>
      <c r="O7" s="130">
        <f>Ref_table!O10</f>
        <v>0</v>
      </c>
      <c r="P7" s="463">
        <f>Ref_table!P10</f>
        <v>0</v>
      </c>
      <c r="Q7" s="469">
        <f>Ref_table!Q10</f>
        <v>0</v>
      </c>
    </row>
    <row r="8" spans="1:17" ht="15">
      <c r="A8" s="125" t="str">
        <f>Ref_table!A11</f>
        <v>a13</v>
      </c>
      <c r="B8" s="92" t="str">
        <f>Ref_table!B11</f>
        <v>2B Pastures &amp; mosaic farmland</v>
      </c>
      <c r="C8" s="4">
        <f>Ref_table!C11</f>
        <v>66904.21</v>
      </c>
      <c r="D8" s="4">
        <f>Ref_table!D11</f>
        <v>62486.11</v>
      </c>
      <c r="E8" s="4">
        <f>Ref_table!E11</f>
        <v>349895.5</v>
      </c>
      <c r="F8" s="4">
        <f>Ref_table!F11</f>
        <v>59510.07</v>
      </c>
      <c r="G8" s="4">
        <f>Ref_table!G11</f>
        <v>29046.39</v>
      </c>
      <c r="H8" s="4">
        <f>Ref_table!H11</f>
        <v>249248.47</v>
      </c>
      <c r="I8" s="137">
        <f>Ref_table!I11</f>
        <v>817090.75</v>
      </c>
      <c r="J8" s="13">
        <f>Ref_table!J11</f>
        <v>0</v>
      </c>
      <c r="K8" s="262">
        <f>Ref_table!K11</f>
        <v>817090.75</v>
      </c>
      <c r="L8" s="118">
        <f>Ref_table!L11</f>
        <v>0</v>
      </c>
      <c r="M8" s="118">
        <f>Ref_table!M11</f>
        <v>0</v>
      </c>
      <c r="N8" s="547">
        <f>Ref_table!N11</f>
        <v>0</v>
      </c>
      <c r="O8" s="130">
        <f>Ref_table!O11</f>
        <v>0</v>
      </c>
      <c r="P8" s="463">
        <f>Ref_table!P11</f>
        <v>0</v>
      </c>
      <c r="Q8" s="469">
        <f>Ref_table!Q11</f>
        <v>0</v>
      </c>
    </row>
    <row r="9" spans="1:17" ht="15">
      <c r="A9" s="125" t="str">
        <f>Ref_table!A12</f>
        <v>a14</v>
      </c>
      <c r="B9" s="92" t="str">
        <f>Ref_table!B12</f>
        <v>3A Forests and transitional woodland</v>
      </c>
      <c r="C9" s="4">
        <f>Ref_table!C12</f>
        <v>68935.38</v>
      </c>
      <c r="D9" s="4">
        <f>Ref_table!D12</f>
        <v>60857.74</v>
      </c>
      <c r="E9" s="4">
        <f>Ref_table!E12</f>
        <v>122847.37</v>
      </c>
      <c r="F9" s="4">
        <f>Ref_table!F12</f>
        <v>551060.85</v>
      </c>
      <c r="G9" s="4">
        <f>Ref_table!G12</f>
        <v>74156.3</v>
      </c>
      <c r="H9" s="4">
        <f>Ref_table!H12</f>
        <v>672073.31</v>
      </c>
      <c r="I9" s="137">
        <f>Ref_table!I12</f>
        <v>1549930.9500000002</v>
      </c>
      <c r="J9" s="13">
        <f>Ref_table!J12</f>
        <v>0</v>
      </c>
      <c r="K9" s="262">
        <f>Ref_table!K12</f>
        <v>1549930.9500000002</v>
      </c>
      <c r="L9" s="118">
        <f>Ref_table!L12</f>
        <v>0</v>
      </c>
      <c r="M9" s="118">
        <f>Ref_table!M12</f>
        <v>0</v>
      </c>
      <c r="N9" s="547">
        <f>Ref_table!N12</f>
        <v>0</v>
      </c>
      <c r="O9" s="130">
        <f>Ref_table!O12</f>
        <v>0</v>
      </c>
      <c r="P9" s="463">
        <f>Ref_table!P12</f>
        <v>0</v>
      </c>
      <c r="Q9" s="469">
        <f>Ref_table!Q12</f>
        <v>0</v>
      </c>
    </row>
    <row r="10" spans="1:17" ht="15">
      <c r="A10" s="125" t="str">
        <f>Ref_table!A13</f>
        <v>a15</v>
      </c>
      <c r="B10" s="92" t="str">
        <f>Ref_table!B13</f>
        <v>3B Natural grassland, heathland, sclerophylous vegetation</v>
      </c>
      <c r="C10" s="4">
        <f>Ref_table!C13</f>
        <v>7065.71</v>
      </c>
      <c r="D10" s="4">
        <f>Ref_table!D13</f>
        <v>7771.33</v>
      </c>
      <c r="E10" s="4">
        <f>Ref_table!E13</f>
        <v>15580.99</v>
      </c>
      <c r="F10" s="4">
        <f>Ref_table!F13</f>
        <v>26943.74</v>
      </c>
      <c r="G10" s="4">
        <f>Ref_table!G13</f>
        <v>154368.73</v>
      </c>
      <c r="H10" s="4">
        <f>Ref_table!H13</f>
        <v>81118.72</v>
      </c>
      <c r="I10" s="137">
        <f>Ref_table!I13</f>
        <v>292849.22</v>
      </c>
      <c r="J10" s="13">
        <f>Ref_table!J13</f>
        <v>0</v>
      </c>
      <c r="K10" s="262">
        <f>Ref_table!K13</f>
        <v>292849.22</v>
      </c>
      <c r="L10" s="118">
        <f>Ref_table!L13</f>
        <v>0</v>
      </c>
      <c r="M10" s="118">
        <f>Ref_table!M13</f>
        <v>0</v>
      </c>
      <c r="N10" s="547">
        <f>Ref_table!N13</f>
        <v>0</v>
      </c>
      <c r="O10" s="130">
        <f>Ref_table!O13</f>
        <v>0</v>
      </c>
      <c r="P10" s="463">
        <f>Ref_table!P13</f>
        <v>0</v>
      </c>
      <c r="Q10" s="469">
        <f>Ref_table!Q13</f>
        <v>0</v>
      </c>
    </row>
    <row r="11" spans="1:17" ht="15">
      <c r="A11" s="125" t="str">
        <f>Ref_table!A14</f>
        <v>a16</v>
      </c>
      <c r="B11" s="92" t="str">
        <f>Ref_table!B14</f>
        <v>3C Open space with little or no vegetation</v>
      </c>
      <c r="C11" s="4">
        <f>Ref_table!C14</f>
        <v>1175.95</v>
      </c>
      <c r="D11" s="4">
        <f>Ref_table!D14</f>
        <v>711.91</v>
      </c>
      <c r="E11" s="4">
        <f>Ref_table!E14</f>
        <v>994.42</v>
      </c>
      <c r="F11" s="4">
        <f>Ref_table!F14</f>
        <v>3455.18</v>
      </c>
      <c r="G11" s="4">
        <f>Ref_table!G14</f>
        <v>41135.37</v>
      </c>
      <c r="H11" s="4">
        <f>Ref_table!H14</f>
        <v>14054.94</v>
      </c>
      <c r="I11" s="137">
        <f>Ref_table!I14</f>
        <v>61527.770000000004</v>
      </c>
      <c r="J11" s="13">
        <f>Ref_table!J14</f>
        <v>0</v>
      </c>
      <c r="K11" s="262">
        <f>Ref_table!K14</f>
        <v>61527.770000000004</v>
      </c>
      <c r="L11" s="118">
        <f>Ref_table!L14</f>
        <v>0</v>
      </c>
      <c r="M11" s="118">
        <f>Ref_table!M14</f>
        <v>0</v>
      </c>
      <c r="N11" s="547">
        <f>Ref_table!N14</f>
        <v>0</v>
      </c>
      <c r="O11" s="130">
        <f>Ref_table!O14</f>
        <v>0</v>
      </c>
      <c r="P11" s="463">
        <f>Ref_table!P14</f>
        <v>0</v>
      </c>
      <c r="Q11" s="469">
        <f>Ref_table!Q14</f>
        <v>0</v>
      </c>
    </row>
    <row r="12" spans="1:17" ht="15">
      <c r="A12" s="125" t="str">
        <f>Ref_table!A15</f>
        <v>a17</v>
      </c>
      <c r="B12" s="92" t="str">
        <f>Ref_table!B15</f>
        <v>4 Wetlands</v>
      </c>
      <c r="C12" s="4">
        <f>Ref_table!C15</f>
        <v>2241.83</v>
      </c>
      <c r="D12" s="4">
        <f>Ref_table!D15</f>
        <v>1912.19</v>
      </c>
      <c r="E12" s="4">
        <f>Ref_table!E15</f>
        <v>3898.54</v>
      </c>
      <c r="F12" s="4">
        <f>Ref_table!F15</f>
        <v>3971.56</v>
      </c>
      <c r="G12" s="4">
        <f>Ref_table!G15</f>
        <v>45173.86</v>
      </c>
      <c r="H12" s="4">
        <f>Ref_table!H15</f>
        <v>38711.65</v>
      </c>
      <c r="I12" s="137">
        <f>Ref_table!I15</f>
        <v>95909.63</v>
      </c>
      <c r="J12" s="13">
        <f>Ref_table!J15</f>
        <v>0</v>
      </c>
      <c r="K12" s="262">
        <f>Ref_table!K15</f>
        <v>95909.63</v>
      </c>
      <c r="L12" s="118">
        <f>Ref_table!L15</f>
        <v>0</v>
      </c>
      <c r="M12" s="118">
        <f>Ref_table!M15</f>
        <v>0</v>
      </c>
      <c r="N12" s="547">
        <f>Ref_table!N15</f>
        <v>0</v>
      </c>
      <c r="O12" s="130">
        <f>Ref_table!O15</f>
        <v>0</v>
      </c>
      <c r="P12" s="463">
        <f>Ref_table!P15</f>
        <v>0</v>
      </c>
      <c r="Q12" s="469">
        <f>Ref_table!Q15</f>
        <v>0</v>
      </c>
    </row>
    <row r="13" spans="1:17" ht="15.75" thickBot="1">
      <c r="A13" s="126" t="str">
        <f>Ref_table!A16</f>
        <v>a18</v>
      </c>
      <c r="B13" s="52" t="str">
        <f>Ref_table!B16</f>
        <v>5 Water bodies</v>
      </c>
      <c r="C13" s="46">
        <f>Ref_table!C16</f>
        <v>8459.09</v>
      </c>
      <c r="D13" s="46">
        <f>Ref_table!D16</f>
        <v>3224.23</v>
      </c>
      <c r="E13" s="46">
        <f>Ref_table!E16</f>
        <v>3890.47</v>
      </c>
      <c r="F13" s="46">
        <f>Ref_table!F16</f>
        <v>4374.62</v>
      </c>
      <c r="G13" s="46">
        <f>Ref_table!G16</f>
        <v>59690.23</v>
      </c>
      <c r="H13" s="46">
        <f>Ref_table!H16</f>
        <v>35003.06</v>
      </c>
      <c r="I13" s="264">
        <f>Ref_table!I16</f>
        <v>114641.7</v>
      </c>
      <c r="J13" s="258">
        <f>Ref_table!J16</f>
        <v>85527</v>
      </c>
      <c r="K13" s="198">
        <f>Ref_table!K16</f>
        <v>114641.7</v>
      </c>
      <c r="L13" s="118">
        <f>Ref_table!L16</f>
        <v>0</v>
      </c>
      <c r="M13" s="118">
        <f>Ref_table!M16</f>
        <v>0</v>
      </c>
      <c r="N13" s="547">
        <f>Ref_table!N16</f>
        <v>0</v>
      </c>
      <c r="O13" s="130">
        <f>Ref_table!O16</f>
        <v>0</v>
      </c>
      <c r="P13" s="463">
        <f>Ref_table!P16</f>
        <v>0</v>
      </c>
      <c r="Q13" s="469">
        <f>Ref_table!Q16</f>
        <v>0</v>
      </c>
    </row>
    <row r="14" spans="1:17" ht="15.75">
      <c r="A14" s="253" t="str">
        <f>Ref_table!A17</f>
        <v>A2</v>
      </c>
      <c r="B14" s="255" t="str">
        <f>Ref_table!B17</f>
        <v>Land cover change, total flows 1990-2006, km^2 [lcf1+lcf2+lcf3]</v>
      </c>
      <c r="C14" s="256">
        <f>Ref_table!C17</f>
        <v>16012.650000000001</v>
      </c>
      <c r="D14" s="256">
        <f>Ref_table!D17</f>
        <v>16965.07</v>
      </c>
      <c r="E14" s="256">
        <f>Ref_table!E17</f>
        <v>20161.489999999998</v>
      </c>
      <c r="F14" s="256">
        <f>Ref_table!F17</f>
        <v>41397.22</v>
      </c>
      <c r="G14" s="256">
        <f>Ref_table!G17</f>
        <v>11805.16</v>
      </c>
      <c r="H14" s="256">
        <f>Ref_table!H17</f>
        <v>52132.75</v>
      </c>
      <c r="I14" s="164">
        <f>Ref_table!I17</f>
        <v>158474.34</v>
      </c>
      <c r="J14" s="165">
        <f>Ref_table!J17</f>
        <v>0</v>
      </c>
      <c r="K14" s="166">
        <f>Ref_table!K17</f>
        <v>158474.34</v>
      </c>
      <c r="L14" s="170">
        <f>Ref_table!L17</f>
        <v>0</v>
      </c>
      <c r="M14" s="170">
        <f>Ref_table!M17</f>
        <v>0</v>
      </c>
      <c r="N14" s="548">
        <f>Ref_table!N17</f>
        <v>0</v>
      </c>
      <c r="O14" s="459">
        <f>Ref_table!O17</f>
        <v>0</v>
      </c>
      <c r="P14" s="464">
        <f>Ref_table!P17</f>
        <v>0</v>
      </c>
      <c r="Q14" s="470">
        <f>Ref_table!Q17</f>
        <v>0</v>
      </c>
    </row>
    <row r="15" spans="1:17" ht="15">
      <c r="A15" s="247" t="str">
        <f>Ref_table!A18</f>
        <v>a21</v>
      </c>
      <c r="B15" s="248" t="str">
        <f>Ref_table!B18</f>
        <v>lf1 Land development processes, urban sprawl, expansion of intensive land use</v>
      </c>
      <c r="C15" s="249">
        <f>Ref_table!C18</f>
        <v>9340.400000000001</v>
      </c>
      <c r="D15" s="249">
        <f>Ref_table!D18</f>
        <v>5542.670000000001</v>
      </c>
      <c r="E15" s="249">
        <f>Ref_table!E18</f>
        <v>7210.639999999999</v>
      </c>
      <c r="F15" s="249">
        <f>Ref_table!F18</f>
        <v>1525.61</v>
      </c>
      <c r="G15" s="249">
        <f>Ref_table!G18</f>
        <v>1819.64</v>
      </c>
      <c r="H15" s="249">
        <f>Ref_table!H18</f>
        <v>9360.82</v>
      </c>
      <c r="I15" s="138">
        <f>Ref_table!I18</f>
        <v>34799.78</v>
      </c>
      <c r="J15" s="122">
        <f>Ref_table!J18</f>
        <v>0</v>
      </c>
      <c r="K15" s="160">
        <f>Ref_table!K18</f>
        <v>34799.78</v>
      </c>
      <c r="L15" s="158">
        <f>Ref_table!L18</f>
        <v>0</v>
      </c>
      <c r="M15" s="158">
        <f>Ref_table!M18</f>
        <v>0</v>
      </c>
      <c r="N15" s="549">
        <f>Ref_table!N18</f>
        <v>0</v>
      </c>
      <c r="O15" s="460">
        <f>Ref_table!O18</f>
        <v>0</v>
      </c>
      <c r="P15" s="465">
        <f>Ref_table!P18</f>
        <v>0</v>
      </c>
      <c r="Q15" s="471">
        <f>Ref_table!Q18</f>
        <v>0</v>
      </c>
    </row>
    <row r="16" spans="1:17" ht="15">
      <c r="A16" s="142" t="str">
        <f>Ref_table!A19</f>
        <v>a211</v>
      </c>
      <c r="B16" s="37" t="str">
        <f>Ref_table!B19</f>
        <v>lf11 Artificial development over agriculture</v>
      </c>
      <c r="C16" s="38">
        <f>Ref_table!C19</f>
        <v>6574.25</v>
      </c>
      <c r="D16" s="38">
        <f>Ref_table!D19</f>
        <v>1984.88</v>
      </c>
      <c r="E16" s="38">
        <f>Ref_table!E19</f>
        <v>1259.04</v>
      </c>
      <c r="F16" s="38">
        <f>Ref_table!F19</f>
        <v>275.67</v>
      </c>
      <c r="G16" s="38">
        <f>Ref_table!G19</f>
        <v>156.02</v>
      </c>
      <c r="H16" s="38">
        <f>Ref_table!H19</f>
        <v>2402.21</v>
      </c>
      <c r="I16" s="138">
        <f>Ref_table!I19</f>
        <v>12652.070000000003</v>
      </c>
      <c r="J16" s="40">
        <f>Ref_table!J19</f>
        <v>0</v>
      </c>
      <c r="K16" s="160">
        <f>Ref_table!K19</f>
        <v>12652.070000000003</v>
      </c>
      <c r="L16" s="159">
        <f>Ref_table!L19</f>
        <v>0</v>
      </c>
      <c r="M16" s="159">
        <f>Ref_table!M19</f>
        <v>0</v>
      </c>
      <c r="N16" s="550">
        <f>Ref_table!N19</f>
        <v>0</v>
      </c>
      <c r="O16" s="461">
        <f>Ref_table!O19</f>
        <v>0</v>
      </c>
      <c r="P16" s="466">
        <f>Ref_table!P19</f>
        <v>0</v>
      </c>
      <c r="Q16" s="472">
        <f>Ref_table!Q19</f>
        <v>0</v>
      </c>
    </row>
    <row r="17" spans="1:17" ht="15">
      <c r="A17" s="142" t="str">
        <f>Ref_table!A20</f>
        <v>a212</v>
      </c>
      <c r="B17" s="37" t="str">
        <f>Ref_table!B20</f>
        <v>lf12 Artificial development over forests</v>
      </c>
      <c r="C17" s="38">
        <f>Ref_table!C20</f>
        <v>755.76</v>
      </c>
      <c r="D17" s="38">
        <f>Ref_table!D20</f>
        <v>50.75</v>
      </c>
      <c r="E17" s="38">
        <f>Ref_table!E20</f>
        <v>80.48</v>
      </c>
      <c r="F17" s="38">
        <f>Ref_table!F20</f>
        <v>337.69</v>
      </c>
      <c r="G17" s="38">
        <f>Ref_table!G20</f>
        <v>36.14</v>
      </c>
      <c r="H17" s="38">
        <f>Ref_table!H20</f>
        <v>400.29</v>
      </c>
      <c r="I17" s="138">
        <f>Ref_table!I20</f>
        <v>1661.1100000000001</v>
      </c>
      <c r="J17" s="40">
        <f>Ref_table!J20</f>
        <v>0</v>
      </c>
      <c r="K17" s="160">
        <f>Ref_table!K20</f>
        <v>1661.1100000000001</v>
      </c>
      <c r="L17" s="159">
        <f>Ref_table!L20</f>
        <v>0</v>
      </c>
      <c r="M17" s="159">
        <f>Ref_table!M20</f>
        <v>0</v>
      </c>
      <c r="N17" s="550">
        <f>Ref_table!N20</f>
        <v>0</v>
      </c>
      <c r="O17" s="461">
        <f>Ref_table!O20</f>
        <v>0</v>
      </c>
      <c r="P17" s="466">
        <f>Ref_table!P20</f>
        <v>0</v>
      </c>
      <c r="Q17" s="472">
        <f>Ref_table!Q20</f>
        <v>0</v>
      </c>
    </row>
    <row r="18" spans="1:17" ht="15">
      <c r="A18" s="142" t="str">
        <f>Ref_table!A21</f>
        <v>a213</v>
      </c>
      <c r="B18" s="37" t="str">
        <f>Ref_table!B21</f>
        <v>lf13 Artificial development of other natural land cover</v>
      </c>
      <c r="C18" s="38">
        <f>Ref_table!C21</f>
        <v>664.67</v>
      </c>
      <c r="D18" s="38">
        <f>Ref_table!D21</f>
        <v>40.51</v>
      </c>
      <c r="E18" s="38">
        <f>Ref_table!E21</f>
        <v>53.09</v>
      </c>
      <c r="F18" s="38">
        <f>Ref_table!F21</f>
        <v>41.03</v>
      </c>
      <c r="G18" s="38">
        <f>Ref_table!G21</f>
        <v>189.63</v>
      </c>
      <c r="H18" s="38">
        <f>Ref_table!H21</f>
        <v>199.15</v>
      </c>
      <c r="I18" s="138">
        <f>Ref_table!I21</f>
        <v>1188.08</v>
      </c>
      <c r="J18" s="40">
        <f>Ref_table!J21</f>
        <v>0</v>
      </c>
      <c r="K18" s="160">
        <f>Ref_table!K21</f>
        <v>1188.08</v>
      </c>
      <c r="L18" s="159">
        <f>Ref_table!L21</f>
        <v>0</v>
      </c>
      <c r="M18" s="159">
        <f>Ref_table!M21</f>
        <v>0</v>
      </c>
      <c r="N18" s="550">
        <f>Ref_table!N21</f>
        <v>0</v>
      </c>
      <c r="O18" s="461">
        <f>Ref_table!O21</f>
        <v>0</v>
      </c>
      <c r="P18" s="466">
        <f>Ref_table!P21</f>
        <v>0</v>
      </c>
      <c r="Q18" s="472">
        <f>Ref_table!Q21</f>
        <v>0</v>
      </c>
    </row>
    <row r="19" spans="1:17" ht="15">
      <c r="A19" s="142" t="str">
        <f>Ref_table!A22</f>
        <v>a214</v>
      </c>
      <c r="B19" s="37" t="str">
        <f>Ref_table!B22</f>
        <v>lf14 Conversion from small fields agriculture and pasture to broad pattern cropland</v>
      </c>
      <c r="C19" s="38">
        <f>Ref_table!C22</f>
        <v>614.7</v>
      </c>
      <c r="D19" s="38">
        <f>Ref_table!D22</f>
        <v>2293.05</v>
      </c>
      <c r="E19" s="38">
        <f>Ref_table!E22</f>
        <v>3815.37</v>
      </c>
      <c r="F19" s="38">
        <f>Ref_table!F22</f>
        <v>174.77</v>
      </c>
      <c r="G19" s="38">
        <f>Ref_table!G22</f>
        <v>200.25</v>
      </c>
      <c r="H19" s="38">
        <f>Ref_table!H22</f>
        <v>3421.56</v>
      </c>
      <c r="I19" s="138">
        <f>Ref_table!I22</f>
        <v>10519.7</v>
      </c>
      <c r="J19" s="40">
        <f>Ref_table!J22</f>
        <v>0</v>
      </c>
      <c r="K19" s="160">
        <f>Ref_table!K22</f>
        <v>10519.7</v>
      </c>
      <c r="L19" s="159">
        <f>Ref_table!L22</f>
        <v>0</v>
      </c>
      <c r="M19" s="159">
        <f>Ref_table!M22</f>
        <v>0</v>
      </c>
      <c r="N19" s="550">
        <f>Ref_table!N22</f>
        <v>0</v>
      </c>
      <c r="O19" s="461">
        <f>Ref_table!O22</f>
        <v>0</v>
      </c>
      <c r="P19" s="466">
        <f>Ref_table!P22</f>
        <v>0</v>
      </c>
      <c r="Q19" s="472">
        <f>Ref_table!Q22</f>
        <v>0</v>
      </c>
    </row>
    <row r="20" spans="1:17" ht="15">
      <c r="A20" s="142" t="str">
        <f>Ref_table!A23</f>
        <v>a215</v>
      </c>
      <c r="B20" s="37" t="str">
        <f>Ref_table!B23</f>
        <v>lf15 Conversion from forest to agriculture</v>
      </c>
      <c r="C20" s="38">
        <f>Ref_table!C23</f>
        <v>67.18</v>
      </c>
      <c r="D20" s="38">
        <f>Ref_table!D23</f>
        <v>227.54</v>
      </c>
      <c r="E20" s="38">
        <f>Ref_table!E23</f>
        <v>1003.25</v>
      </c>
      <c r="F20" s="38">
        <f>Ref_table!F23</f>
        <v>391.53</v>
      </c>
      <c r="G20" s="38">
        <f>Ref_table!G23</f>
        <v>108.18</v>
      </c>
      <c r="H20" s="38">
        <f>Ref_table!H23</f>
        <v>903.04</v>
      </c>
      <c r="I20" s="138">
        <f>Ref_table!I23</f>
        <v>2700.7200000000003</v>
      </c>
      <c r="J20" s="40">
        <f>Ref_table!J23</f>
        <v>0</v>
      </c>
      <c r="K20" s="160">
        <f>Ref_table!K23</f>
        <v>2700.7200000000003</v>
      </c>
      <c r="L20" s="159">
        <f>Ref_table!L23</f>
        <v>0</v>
      </c>
      <c r="M20" s="159">
        <f>Ref_table!M23</f>
        <v>0</v>
      </c>
      <c r="N20" s="550">
        <f>Ref_table!N23</f>
        <v>0</v>
      </c>
      <c r="O20" s="461">
        <f>Ref_table!O23</f>
        <v>0</v>
      </c>
      <c r="P20" s="466">
        <f>Ref_table!P23</f>
        <v>0</v>
      </c>
      <c r="Q20" s="472">
        <f>Ref_table!Q23</f>
        <v>0</v>
      </c>
    </row>
    <row r="21" spans="1:17" ht="15">
      <c r="A21" s="142" t="str">
        <f>Ref_table!A24</f>
        <v>a216</v>
      </c>
      <c r="B21" s="37" t="str">
        <f>Ref_table!B24</f>
        <v>lf16 Conversion from marginal land to agriculture</v>
      </c>
      <c r="C21" s="38">
        <f>Ref_table!C24</f>
        <v>468.35</v>
      </c>
      <c r="D21" s="38">
        <f>Ref_table!D24</f>
        <v>746.17</v>
      </c>
      <c r="E21" s="38">
        <f>Ref_table!E24</f>
        <v>814</v>
      </c>
      <c r="F21" s="38">
        <f>Ref_table!F24</f>
        <v>194.35</v>
      </c>
      <c r="G21" s="38">
        <f>Ref_table!G24</f>
        <v>621.21</v>
      </c>
      <c r="H21" s="38">
        <f>Ref_table!H24</f>
        <v>1576.16</v>
      </c>
      <c r="I21" s="138">
        <f>Ref_table!I24</f>
        <v>4420.24</v>
      </c>
      <c r="J21" s="40">
        <f>Ref_table!J24</f>
        <v>0</v>
      </c>
      <c r="K21" s="160">
        <f>Ref_table!K24</f>
        <v>4420.24</v>
      </c>
      <c r="L21" s="159">
        <f>Ref_table!L24</f>
        <v>0</v>
      </c>
      <c r="M21" s="159">
        <f>Ref_table!M24</f>
        <v>0</v>
      </c>
      <c r="N21" s="550">
        <f>Ref_table!N24</f>
        <v>0</v>
      </c>
      <c r="O21" s="461">
        <f>Ref_table!O24</f>
        <v>0</v>
      </c>
      <c r="P21" s="466">
        <f>Ref_table!P24</f>
        <v>0</v>
      </c>
      <c r="Q21" s="472">
        <f>Ref_table!Q24</f>
        <v>0</v>
      </c>
    </row>
    <row r="22" spans="1:17" ht="15">
      <c r="A22" s="142" t="str">
        <f>Ref_table!A25</f>
        <v>a217</v>
      </c>
      <c r="B22" s="37" t="str">
        <f>Ref_table!B25</f>
        <v>lf17 Water bodies creation and management</v>
      </c>
      <c r="C22" s="38">
        <f>Ref_table!C25</f>
        <v>195.49</v>
      </c>
      <c r="D22" s="38">
        <f>Ref_table!D25</f>
        <v>199.77</v>
      </c>
      <c r="E22" s="38">
        <f>Ref_table!E25</f>
        <v>185.41</v>
      </c>
      <c r="F22" s="38">
        <f>Ref_table!F25</f>
        <v>110.57</v>
      </c>
      <c r="G22" s="38">
        <f>Ref_table!G25</f>
        <v>508.21</v>
      </c>
      <c r="H22" s="38">
        <f>Ref_table!H25</f>
        <v>458.41</v>
      </c>
      <c r="I22" s="138">
        <f>Ref_table!I25</f>
        <v>1657.8600000000001</v>
      </c>
      <c r="J22" s="40">
        <f>Ref_table!J25</f>
        <v>0</v>
      </c>
      <c r="K22" s="160">
        <f>Ref_table!K25</f>
        <v>1657.8600000000001</v>
      </c>
      <c r="L22" s="159">
        <f>Ref_table!L25</f>
        <v>0</v>
      </c>
      <c r="M22" s="159">
        <f>Ref_table!M25</f>
        <v>0</v>
      </c>
      <c r="N22" s="550">
        <f>Ref_table!N25</f>
        <v>0</v>
      </c>
      <c r="O22" s="461">
        <f>Ref_table!O25</f>
        <v>0</v>
      </c>
      <c r="P22" s="466">
        <f>Ref_table!P25</f>
        <v>0</v>
      </c>
      <c r="Q22" s="472">
        <f>Ref_table!Q25</f>
        <v>0</v>
      </c>
    </row>
    <row r="23" spans="1:17" ht="15">
      <c r="A23" s="247" t="str">
        <f>Ref_table!A26</f>
        <v>a22</v>
      </c>
      <c r="B23" s="248" t="str">
        <f>Ref_table!B26</f>
        <v>lf2 Land restoration processes</v>
      </c>
      <c r="C23" s="249">
        <f>Ref_table!C26</f>
        <v>2005.99</v>
      </c>
      <c r="D23" s="249">
        <f>Ref_table!D26</f>
        <v>2020.9899999999998</v>
      </c>
      <c r="E23" s="249">
        <f>Ref_table!E26</f>
        <v>5764.78</v>
      </c>
      <c r="F23" s="249">
        <f>Ref_table!F26</f>
        <v>5491.74</v>
      </c>
      <c r="G23" s="249">
        <f>Ref_table!G26</f>
        <v>3153.24</v>
      </c>
      <c r="H23" s="249">
        <f>Ref_table!H26</f>
        <v>10087.95</v>
      </c>
      <c r="I23" s="138">
        <f>Ref_table!I26</f>
        <v>28524.69</v>
      </c>
      <c r="J23" s="122">
        <f>Ref_table!J26</f>
        <v>0</v>
      </c>
      <c r="K23" s="160">
        <f>Ref_table!K26</f>
        <v>28524.69</v>
      </c>
      <c r="L23" s="158">
        <f>Ref_table!L26</f>
        <v>0</v>
      </c>
      <c r="M23" s="158">
        <f>Ref_table!M26</f>
        <v>0</v>
      </c>
      <c r="N23" s="549">
        <f>Ref_table!N26</f>
        <v>0</v>
      </c>
      <c r="O23" s="460">
        <f>Ref_table!O26</f>
        <v>0</v>
      </c>
      <c r="P23" s="465">
        <f>Ref_table!P26</f>
        <v>0</v>
      </c>
      <c r="Q23" s="471">
        <f>Ref_table!Q26</f>
        <v>0</v>
      </c>
    </row>
    <row r="24" spans="1:17" ht="15">
      <c r="A24" s="113" t="str">
        <f>Ref_table!A27</f>
        <v>a221</v>
      </c>
      <c r="B24" s="37" t="str">
        <f>Ref_table!B27</f>
        <v>lf21 Conversion from crops to set aside, fallow land and pasture</v>
      </c>
      <c r="C24" s="38">
        <f>Ref_table!C27</f>
        <v>999.19</v>
      </c>
      <c r="D24" s="38">
        <f>Ref_table!D27</f>
        <v>1192.28</v>
      </c>
      <c r="E24" s="38">
        <f>Ref_table!E27</f>
        <v>3697.28</v>
      </c>
      <c r="F24" s="38">
        <f>Ref_table!F27</f>
        <v>734.83</v>
      </c>
      <c r="G24" s="38">
        <f>Ref_table!G27</f>
        <v>253.48</v>
      </c>
      <c r="H24" s="38">
        <f>Ref_table!H27</f>
        <v>4573.33</v>
      </c>
      <c r="I24" s="138">
        <f>Ref_table!I27</f>
        <v>11450.39</v>
      </c>
      <c r="J24" s="40">
        <f>Ref_table!J27</f>
        <v>0</v>
      </c>
      <c r="K24" s="160">
        <f>Ref_table!K27</f>
        <v>11450.39</v>
      </c>
      <c r="L24" s="159">
        <f>Ref_table!L27</f>
        <v>0</v>
      </c>
      <c r="M24" s="159">
        <f>Ref_table!M27</f>
        <v>0</v>
      </c>
      <c r="N24" s="550">
        <f>Ref_table!N27</f>
        <v>0</v>
      </c>
      <c r="O24" s="461">
        <f>Ref_table!O27</f>
        <v>0</v>
      </c>
      <c r="P24" s="466">
        <f>Ref_table!P27</f>
        <v>0</v>
      </c>
      <c r="Q24" s="472">
        <f>Ref_table!Q27</f>
        <v>0</v>
      </c>
    </row>
    <row r="25" spans="1:17" ht="15">
      <c r="A25" s="113" t="str">
        <f>Ref_table!A28</f>
        <v>a222</v>
      </c>
      <c r="B25" s="37" t="str">
        <f>Ref_table!B28</f>
        <v>lf22 Withdrawal of farming</v>
      </c>
      <c r="C25" s="38">
        <f>Ref_table!C28</f>
        <v>503</v>
      </c>
      <c r="D25" s="38">
        <f>Ref_table!D28</f>
        <v>658.38</v>
      </c>
      <c r="E25" s="38">
        <f>Ref_table!E28</f>
        <v>1460.84</v>
      </c>
      <c r="F25" s="38">
        <f>Ref_table!F28</f>
        <v>940.55</v>
      </c>
      <c r="G25" s="38">
        <f>Ref_table!G28</f>
        <v>726.27</v>
      </c>
      <c r="H25" s="38">
        <f>Ref_table!H28</f>
        <v>2840.32</v>
      </c>
      <c r="I25" s="138">
        <f>Ref_table!I28</f>
        <v>7129.360000000001</v>
      </c>
      <c r="J25" s="40">
        <f>Ref_table!J28</f>
        <v>0</v>
      </c>
      <c r="K25" s="160">
        <f>Ref_table!K28</f>
        <v>7129.360000000001</v>
      </c>
      <c r="L25" s="159">
        <f>Ref_table!L28</f>
        <v>0</v>
      </c>
      <c r="M25" s="159">
        <f>Ref_table!M28</f>
        <v>0</v>
      </c>
      <c r="N25" s="550">
        <f>Ref_table!N28</f>
        <v>0</v>
      </c>
      <c r="O25" s="461">
        <f>Ref_table!O28</f>
        <v>0</v>
      </c>
      <c r="P25" s="466">
        <f>Ref_table!P28</f>
        <v>0</v>
      </c>
      <c r="Q25" s="472">
        <f>Ref_table!Q28</f>
        <v>0</v>
      </c>
    </row>
    <row r="26" spans="1:17" ht="15">
      <c r="A26" s="113" t="str">
        <f>Ref_table!A29</f>
        <v>a223</v>
      </c>
      <c r="B26" s="37" t="str">
        <f>Ref_table!B29</f>
        <v>lf23 Forest creation, afforestation of agriculture land</v>
      </c>
      <c r="C26" s="38">
        <f>Ref_table!C29</f>
        <v>503.8</v>
      </c>
      <c r="D26" s="38">
        <f>Ref_table!D29</f>
        <v>170.33</v>
      </c>
      <c r="E26" s="38">
        <f>Ref_table!E29</f>
        <v>606.66</v>
      </c>
      <c r="F26" s="38">
        <f>Ref_table!F29</f>
        <v>3816.36</v>
      </c>
      <c r="G26" s="38">
        <f>Ref_table!G29</f>
        <v>2173.49</v>
      </c>
      <c r="H26" s="38">
        <f>Ref_table!H29</f>
        <v>2674.3</v>
      </c>
      <c r="I26" s="138">
        <f>Ref_table!I29</f>
        <v>9944.939999999999</v>
      </c>
      <c r="J26" s="40">
        <f>Ref_table!J29</f>
        <v>0</v>
      </c>
      <c r="K26" s="160">
        <f>Ref_table!K29</f>
        <v>9944.939999999999</v>
      </c>
      <c r="L26" s="159">
        <f>Ref_table!L29</f>
        <v>0</v>
      </c>
      <c r="M26" s="159">
        <f>Ref_table!M29</f>
        <v>0</v>
      </c>
      <c r="N26" s="550">
        <f>Ref_table!N29</f>
        <v>0</v>
      </c>
      <c r="O26" s="461">
        <f>Ref_table!O29</f>
        <v>0</v>
      </c>
      <c r="P26" s="466">
        <f>Ref_table!P29</f>
        <v>0</v>
      </c>
      <c r="Q26" s="472">
        <f>Ref_table!Q29</f>
        <v>0</v>
      </c>
    </row>
    <row r="27" spans="1:17" ht="15">
      <c r="A27" s="247" t="str">
        <f>Ref_table!A30</f>
        <v>a23</v>
      </c>
      <c r="B27" s="248" t="str">
        <f>Ref_table!B30</f>
        <v>lf3 Rotations, natural processes and steady state</v>
      </c>
      <c r="C27" s="249">
        <f>Ref_table!C30</f>
        <v>4666.26</v>
      </c>
      <c r="D27" s="249">
        <f>Ref_table!D30</f>
        <v>9401.41</v>
      </c>
      <c r="E27" s="249">
        <f>Ref_table!E30</f>
        <v>7186.070000000001</v>
      </c>
      <c r="F27" s="249">
        <f>Ref_table!F30</f>
        <v>34379.87</v>
      </c>
      <c r="G27" s="249">
        <f>Ref_table!G30</f>
        <v>6832.280000000001</v>
      </c>
      <c r="H27" s="249">
        <f>Ref_table!H30</f>
        <v>32683.98</v>
      </c>
      <c r="I27" s="138">
        <f>Ref_table!I30</f>
        <v>95149.87</v>
      </c>
      <c r="J27" s="122">
        <f>Ref_table!J30</f>
        <v>0</v>
      </c>
      <c r="K27" s="160">
        <f>Ref_table!K30</f>
        <v>95149.87</v>
      </c>
      <c r="L27" s="158">
        <f>Ref_table!L30</f>
        <v>0</v>
      </c>
      <c r="M27" s="158">
        <f>Ref_table!M30</f>
        <v>0</v>
      </c>
      <c r="N27" s="549">
        <f>Ref_table!N30</f>
        <v>0</v>
      </c>
      <c r="O27" s="460">
        <f>Ref_table!O30</f>
        <v>0</v>
      </c>
      <c r="P27" s="465">
        <f>Ref_table!P30</f>
        <v>0</v>
      </c>
      <c r="Q27" s="471">
        <f>Ref_table!Q30</f>
        <v>0</v>
      </c>
    </row>
    <row r="28" spans="1:17" ht="15">
      <c r="A28" s="113" t="str">
        <f>Ref_table!A31</f>
        <v>a231</v>
      </c>
      <c r="B28" s="37" t="str">
        <f>Ref_table!B31</f>
        <v>lf31 Internal conversion of artificial surfaces</v>
      </c>
      <c r="C28" s="38">
        <f>Ref_table!C31</f>
        <v>1393.34</v>
      </c>
      <c r="D28" s="38">
        <f>Ref_table!D31</f>
        <v>124.42</v>
      </c>
      <c r="E28" s="38">
        <f>Ref_table!E31</f>
        <v>80.02</v>
      </c>
      <c r="F28" s="38">
        <f>Ref_table!F31</f>
        <v>70.6</v>
      </c>
      <c r="G28" s="38">
        <f>Ref_table!G31</f>
        <v>24.38</v>
      </c>
      <c r="H28" s="38">
        <f>Ref_table!H31</f>
        <v>204.9</v>
      </c>
      <c r="I28" s="138">
        <f>Ref_table!I31</f>
        <v>1897.66</v>
      </c>
      <c r="J28" s="40">
        <f>Ref_table!J31</f>
        <v>0</v>
      </c>
      <c r="K28" s="160">
        <f>Ref_table!K31</f>
        <v>1897.66</v>
      </c>
      <c r="L28" s="159">
        <f>Ref_table!L31</f>
        <v>0</v>
      </c>
      <c r="M28" s="159">
        <f>Ref_table!M31</f>
        <v>0</v>
      </c>
      <c r="N28" s="550">
        <f>Ref_table!N31</f>
        <v>0</v>
      </c>
      <c r="O28" s="461">
        <f>Ref_table!O31</f>
        <v>0</v>
      </c>
      <c r="P28" s="466">
        <f>Ref_table!P31</f>
        <v>0</v>
      </c>
      <c r="Q28" s="472">
        <f>Ref_table!Q31</f>
        <v>0</v>
      </c>
    </row>
    <row r="29" spans="1:17" ht="15">
      <c r="A29" s="113" t="str">
        <f>Ref_table!A32</f>
        <v>a232</v>
      </c>
      <c r="B29" s="37" t="str">
        <f>Ref_table!B32</f>
        <v>lf32 Internal conversion between agriculture crop types</v>
      </c>
      <c r="C29" s="38">
        <f>Ref_table!C32</f>
        <v>575.52</v>
      </c>
      <c r="D29" s="38">
        <f>Ref_table!D32</f>
        <v>6676.5</v>
      </c>
      <c r="E29" s="38">
        <f>Ref_table!E32</f>
        <v>667.33</v>
      </c>
      <c r="F29" s="38">
        <f>Ref_table!F32</f>
        <v>119.73</v>
      </c>
      <c r="G29" s="38">
        <f>Ref_table!G32</f>
        <v>195.47</v>
      </c>
      <c r="H29" s="38">
        <f>Ref_table!H32</f>
        <v>2067.26</v>
      </c>
      <c r="I29" s="138">
        <f>Ref_table!I32</f>
        <v>10301.81</v>
      </c>
      <c r="J29" s="40">
        <f>Ref_table!J32</f>
        <v>0</v>
      </c>
      <c r="K29" s="160">
        <f>Ref_table!K32</f>
        <v>10301.81</v>
      </c>
      <c r="L29" s="159">
        <f>Ref_table!L32</f>
        <v>0</v>
      </c>
      <c r="M29" s="159">
        <f>Ref_table!M32</f>
        <v>0</v>
      </c>
      <c r="N29" s="550">
        <f>Ref_table!N32</f>
        <v>0</v>
      </c>
      <c r="O29" s="461">
        <f>Ref_table!O32</f>
        <v>0</v>
      </c>
      <c r="P29" s="466">
        <f>Ref_table!P32</f>
        <v>0</v>
      </c>
      <c r="Q29" s="472">
        <f>Ref_table!Q32</f>
        <v>0</v>
      </c>
    </row>
    <row r="30" spans="1:17" ht="15">
      <c r="A30" s="113" t="str">
        <f>Ref_table!A33</f>
        <v>a233</v>
      </c>
      <c r="B30" s="37" t="str">
        <f>Ref_table!B33</f>
        <v>lf33 Recent tree clearing and forest transition</v>
      </c>
      <c r="C30" s="38">
        <f>Ref_table!C33</f>
        <v>1471.39</v>
      </c>
      <c r="D30" s="38">
        <f>Ref_table!D33</f>
        <v>1664.81</v>
      </c>
      <c r="E30" s="38">
        <f>Ref_table!E33</f>
        <v>4626.64</v>
      </c>
      <c r="F30" s="38">
        <f>Ref_table!F33</f>
        <v>19887.66</v>
      </c>
      <c r="G30" s="38">
        <f>Ref_table!G33</f>
        <v>2013.79</v>
      </c>
      <c r="H30" s="38">
        <f>Ref_table!H33</f>
        <v>19053.58</v>
      </c>
      <c r="I30" s="138">
        <f>Ref_table!I33</f>
        <v>48717.87</v>
      </c>
      <c r="J30" s="40">
        <f>Ref_table!J33</f>
        <v>0</v>
      </c>
      <c r="K30" s="160">
        <f>Ref_table!K33</f>
        <v>48717.87</v>
      </c>
      <c r="L30" s="159">
        <f>Ref_table!L33</f>
        <v>0</v>
      </c>
      <c r="M30" s="159">
        <f>Ref_table!M33</f>
        <v>0</v>
      </c>
      <c r="N30" s="550">
        <f>Ref_table!N33</f>
        <v>0</v>
      </c>
      <c r="O30" s="461">
        <f>Ref_table!O33</f>
        <v>0</v>
      </c>
      <c r="P30" s="466">
        <f>Ref_table!P33</f>
        <v>0</v>
      </c>
      <c r="Q30" s="472">
        <f>Ref_table!Q33</f>
        <v>0</v>
      </c>
    </row>
    <row r="31" spans="1:17" ht="15">
      <c r="A31" s="113" t="str">
        <f>Ref_table!A34</f>
        <v>a234</v>
      </c>
      <c r="B31" s="37" t="str">
        <f>Ref_table!B34</f>
        <v>lf34 Forests conversions and recruitment</v>
      </c>
      <c r="C31" s="38">
        <f>Ref_table!C34</f>
        <v>797.22</v>
      </c>
      <c r="D31" s="38">
        <f>Ref_table!D34</f>
        <v>820.26</v>
      </c>
      <c r="E31" s="38">
        <f>Ref_table!E34</f>
        <v>1454.82</v>
      </c>
      <c r="F31" s="38">
        <f>Ref_table!F34</f>
        <v>13596.17</v>
      </c>
      <c r="G31" s="38">
        <f>Ref_table!G34</f>
        <v>1234.03</v>
      </c>
      <c r="H31" s="38">
        <f>Ref_table!H34</f>
        <v>9794.19</v>
      </c>
      <c r="I31" s="138">
        <f>Ref_table!I34</f>
        <v>27696.690000000002</v>
      </c>
      <c r="J31" s="40">
        <f>Ref_table!J34</f>
        <v>0</v>
      </c>
      <c r="K31" s="160">
        <f>Ref_table!K34</f>
        <v>27696.690000000002</v>
      </c>
      <c r="L31" s="159">
        <f>Ref_table!L34</f>
        <v>0</v>
      </c>
      <c r="M31" s="159">
        <f>Ref_table!M34</f>
        <v>0</v>
      </c>
      <c r="N31" s="550">
        <f>Ref_table!N34</f>
        <v>0</v>
      </c>
      <c r="O31" s="461">
        <f>Ref_table!O34</f>
        <v>0</v>
      </c>
      <c r="P31" s="466">
        <f>Ref_table!P34</f>
        <v>0</v>
      </c>
      <c r="Q31" s="472">
        <f>Ref_table!Q34</f>
        <v>0</v>
      </c>
    </row>
    <row r="32" spans="1:17" ht="15">
      <c r="A32" s="113" t="str">
        <f>Ref_table!A35</f>
        <v>a235</v>
      </c>
      <c r="B32" s="37" t="str">
        <f>Ref_table!B35</f>
        <v>lf35 Changes of land cover due to natural and multiple causes</v>
      </c>
      <c r="C32" s="38">
        <f>Ref_table!C35</f>
        <v>428.79</v>
      </c>
      <c r="D32" s="38">
        <f>Ref_table!D35</f>
        <v>115.42</v>
      </c>
      <c r="E32" s="38">
        <f>Ref_table!E35</f>
        <v>357.26</v>
      </c>
      <c r="F32" s="38">
        <f>Ref_table!F35</f>
        <v>705.71</v>
      </c>
      <c r="G32" s="38">
        <f>Ref_table!G35</f>
        <v>3364.61</v>
      </c>
      <c r="H32" s="38">
        <f>Ref_table!H35</f>
        <v>1564.05</v>
      </c>
      <c r="I32" s="138">
        <f>Ref_table!I35</f>
        <v>6535.84</v>
      </c>
      <c r="J32" s="40">
        <f>Ref_table!J35</f>
        <v>0</v>
      </c>
      <c r="K32" s="160">
        <f>Ref_table!K35</f>
        <v>6535.84</v>
      </c>
      <c r="L32" s="159">
        <f>Ref_table!L35</f>
        <v>0</v>
      </c>
      <c r="M32" s="159">
        <f>Ref_table!M35</f>
        <v>0</v>
      </c>
      <c r="N32" s="550">
        <f>Ref_table!N35</f>
        <v>0</v>
      </c>
      <c r="O32" s="461">
        <f>Ref_table!O35</f>
        <v>0</v>
      </c>
      <c r="P32" s="466">
        <f>Ref_table!P35</f>
        <v>0</v>
      </c>
      <c r="Q32" s="472">
        <f>Ref_table!Q35</f>
        <v>0</v>
      </c>
    </row>
    <row r="33" spans="1:17" ht="15">
      <c r="A33" s="247" t="str">
        <f>Ref_table!A36</f>
        <v>a24</v>
      </c>
      <c r="B33" s="248" t="str">
        <f>Ref_table!B36</f>
        <v>lf4 No observed land cover change [A1-A2]</v>
      </c>
      <c r="C33" s="249">
        <f>Ref_table!C36</f>
        <v>335197.44999999995</v>
      </c>
      <c r="D33" s="249">
        <f>Ref_table!D36</f>
        <v>738839.92</v>
      </c>
      <c r="E33" s="249">
        <f>Ref_table!E36</f>
        <v>570930.31</v>
      </c>
      <c r="F33" s="249">
        <f>Ref_table!F36</f>
        <v>639362.9</v>
      </c>
      <c r="G33" s="249">
        <f>Ref_table!G36</f>
        <v>421186.03</v>
      </c>
      <c r="H33" s="249">
        <f>Ref_table!H36</f>
        <v>1460762.12</v>
      </c>
      <c r="I33" s="138">
        <f>Ref_table!I36</f>
        <v>4166278.7300000004</v>
      </c>
      <c r="J33" s="40">
        <f>Ref_table!J36</f>
        <v>0</v>
      </c>
      <c r="K33" s="160">
        <f>Ref_table!K36</f>
        <v>4166278.7300000004</v>
      </c>
      <c r="L33" s="158">
        <f>Ref_table!L36</f>
        <v>0</v>
      </c>
      <c r="M33" s="158">
        <f>Ref_table!M36</f>
        <v>0</v>
      </c>
      <c r="N33" s="549">
        <f>Ref_table!N36</f>
        <v>0</v>
      </c>
      <c r="O33" s="460">
        <f>Ref_table!O36</f>
        <v>0</v>
      </c>
      <c r="P33" s="465">
        <f>Ref_table!P36</f>
        <v>0</v>
      </c>
      <c r="Q33" s="473">
        <f>Ref_table!Q36</f>
        <v>0</v>
      </c>
    </row>
    <row r="34" spans="1:17" ht="15.75" thickBot="1">
      <c r="A34" s="250" t="str">
        <f>Ref_table!A37</f>
        <v>a24</v>
      </c>
      <c r="B34" s="251" t="str">
        <f>Ref_table!B37</f>
        <v>lf5 Change of dominant landscape type [A3-A1]</v>
      </c>
      <c r="C34" s="252">
        <f>Ref_table!C37</f>
        <v>7809.390000000014</v>
      </c>
      <c r="D34" s="252">
        <f>Ref_table!D37</f>
        <v>-4608.629999999888</v>
      </c>
      <c r="E34" s="252">
        <f>Ref_table!E37</f>
        <v>296.8699999998789</v>
      </c>
      <c r="F34" s="252">
        <f>Ref_table!F37</f>
        <v>-17032.75</v>
      </c>
      <c r="G34" s="252">
        <f>Ref_table!G37</f>
        <v>12162.929999999993</v>
      </c>
      <c r="H34" s="252">
        <f>Ref_table!H37</f>
        <v>1372.3400000000838</v>
      </c>
      <c r="I34" s="161">
        <f>Ref_table!I37</f>
        <v>0.15000000008149073</v>
      </c>
      <c r="J34" s="162">
        <f>Ref_table!J37</f>
        <v>0</v>
      </c>
      <c r="K34" s="163">
        <f>Ref_table!K37</f>
        <v>0.15000000008149073</v>
      </c>
      <c r="L34" s="158">
        <f>Ref_table!L37</f>
        <v>0</v>
      </c>
      <c r="M34" s="158">
        <f>Ref_table!M37</f>
        <v>0</v>
      </c>
      <c r="N34" s="549">
        <f>Ref_table!N37</f>
        <v>0</v>
      </c>
      <c r="O34" s="460">
        <f>Ref_table!O37</f>
        <v>0</v>
      </c>
      <c r="P34" s="465">
        <f>Ref_table!P37</f>
        <v>0</v>
      </c>
      <c r="Q34" s="471">
        <f>Ref_table!Q37</f>
        <v>0</v>
      </c>
    </row>
    <row r="35" spans="1:17" ht="15.75">
      <c r="A35" s="253" t="str">
        <f>Ref_table!A38</f>
        <v>A3</v>
      </c>
      <c r="B35" s="254" t="str">
        <f>Ref_table!B38</f>
        <v>Total EU27 2006, km^2</v>
      </c>
      <c r="C35" s="164">
        <f>Ref_table!C38</f>
        <v>359019.49</v>
      </c>
      <c r="D35" s="164">
        <f>Ref_table!D38</f>
        <v>751196.3600000001</v>
      </c>
      <c r="E35" s="164">
        <f>Ref_table!E38</f>
        <v>591388.6699999999</v>
      </c>
      <c r="F35" s="164">
        <f>Ref_table!F38</f>
        <v>663727.37</v>
      </c>
      <c r="G35" s="164">
        <f>Ref_table!G38</f>
        <v>445154.12</v>
      </c>
      <c r="H35" s="164">
        <f>Ref_table!H38</f>
        <v>1514267.2100000002</v>
      </c>
      <c r="I35" s="196">
        <f>Ref_table!I38</f>
        <v>4324753.220000001</v>
      </c>
      <c r="J35" s="259">
        <f>Ref_table!J38</f>
        <v>85527</v>
      </c>
      <c r="K35" s="197">
        <f>Ref_table!K38</f>
        <v>4324753.220000001</v>
      </c>
      <c r="L35" s="433" t="str">
        <f>Ref_table!L38</f>
        <v>[20000000]</v>
      </c>
      <c r="M35" s="433">
        <f>Ref_table!M38</f>
        <v>0</v>
      </c>
      <c r="N35" s="433">
        <f>Ref_table!N38</f>
        <v>0</v>
      </c>
      <c r="O35" s="415" t="str">
        <f>Ref_table!O38</f>
        <v>[20000000]</v>
      </c>
      <c r="P35" s="417">
        <f>Ref_table!P38</f>
        <v>0</v>
      </c>
      <c r="Q35" s="474">
        <f>Ref_table!Q38</f>
        <v>0</v>
      </c>
    </row>
    <row r="36" spans="1:17" ht="15">
      <c r="A36" s="125" t="str">
        <f>Ref_table!A39</f>
        <v>a31</v>
      </c>
      <c r="B36" s="92" t="str">
        <f>Ref_table!B39</f>
        <v>1 Artificial surfaces</v>
      </c>
      <c r="C36" s="4">
        <f>Ref_table!C39</f>
        <v>111917.88</v>
      </c>
      <c r="D36" s="4">
        <f>Ref_table!D39</f>
        <v>21355.79</v>
      </c>
      <c r="E36" s="4">
        <f>Ref_table!E39</f>
        <v>12058.07</v>
      </c>
      <c r="F36" s="4">
        <f>Ref_table!F39</f>
        <v>5273.26</v>
      </c>
      <c r="G36" s="4">
        <f>Ref_table!G39</f>
        <v>2995.82</v>
      </c>
      <c r="H36" s="4">
        <f>Ref_table!H39</f>
        <v>36328.42</v>
      </c>
      <c r="I36" s="138">
        <f>Ref_table!I39</f>
        <v>189929.24000000005</v>
      </c>
      <c r="J36" s="13">
        <f>Ref_table!J39</f>
        <v>0</v>
      </c>
      <c r="K36" s="160">
        <f>Ref_table!K39</f>
        <v>189929.24000000005</v>
      </c>
      <c r="L36" s="118">
        <f>Ref_table!L39</f>
        <v>0</v>
      </c>
      <c r="M36" s="118">
        <f>Ref_table!M39</f>
        <v>0</v>
      </c>
      <c r="N36" s="547">
        <f>Ref_table!N39</f>
        <v>0</v>
      </c>
      <c r="O36" s="130">
        <f>Ref_table!O39</f>
        <v>0</v>
      </c>
      <c r="P36" s="463">
        <f>Ref_table!P39</f>
        <v>0</v>
      </c>
      <c r="Q36" s="469">
        <f>Ref_table!Q39</f>
        <v>0</v>
      </c>
    </row>
    <row r="37" spans="1:17" ht="15">
      <c r="A37" s="125" t="str">
        <f>Ref_table!A40</f>
        <v>a32</v>
      </c>
      <c r="B37" s="92" t="str">
        <f>Ref_table!B40</f>
        <v>2A Arable land &amp; permanent crops</v>
      </c>
      <c r="C37" s="4">
        <f>Ref_table!C40</f>
        <v>94413.09</v>
      </c>
      <c r="D37" s="4">
        <f>Ref_table!D40</f>
        <v>596376.9</v>
      </c>
      <c r="E37" s="4">
        <f>Ref_table!E40</f>
        <v>76048.17</v>
      </c>
      <c r="F37" s="4">
        <f>Ref_table!F40</f>
        <v>22701.3</v>
      </c>
      <c r="G37" s="4">
        <f>Ref_table!G40</f>
        <v>27394.35</v>
      </c>
      <c r="H37" s="4">
        <f>Ref_table!H40</f>
        <v>390719.17</v>
      </c>
      <c r="I37" s="138">
        <f>Ref_table!I40</f>
        <v>1207652.98</v>
      </c>
      <c r="J37" s="13">
        <f>Ref_table!J40</f>
        <v>0</v>
      </c>
      <c r="K37" s="160">
        <f>Ref_table!K40</f>
        <v>1207652.98</v>
      </c>
      <c r="L37" s="118">
        <f>Ref_table!L40</f>
        <v>0</v>
      </c>
      <c r="M37" s="118">
        <f>Ref_table!M40</f>
        <v>0</v>
      </c>
      <c r="N37" s="547">
        <f>Ref_table!N40</f>
        <v>0</v>
      </c>
      <c r="O37" s="130">
        <f>Ref_table!O40</f>
        <v>0</v>
      </c>
      <c r="P37" s="463">
        <f>Ref_table!P40</f>
        <v>0</v>
      </c>
      <c r="Q37" s="469">
        <f>Ref_table!Q40</f>
        <v>0</v>
      </c>
    </row>
    <row r="38" spans="1:17" ht="15">
      <c r="A38" s="125" t="str">
        <f>Ref_table!A41</f>
        <v>a33</v>
      </c>
      <c r="B38" s="92" t="str">
        <f>Ref_table!B41</f>
        <v>2B Pastures &amp; mosaic farmland</v>
      </c>
      <c r="C38" s="4">
        <f>Ref_table!C41</f>
        <v>66815.77</v>
      </c>
      <c r="D38" s="4">
        <f>Ref_table!D41</f>
        <v>59115.36</v>
      </c>
      <c r="E38" s="4">
        <f>Ref_table!E41</f>
        <v>356965.21</v>
      </c>
      <c r="F38" s="4">
        <f>Ref_table!F41</f>
        <v>54161.4</v>
      </c>
      <c r="G38" s="4">
        <f>Ref_table!G41</f>
        <v>30596.51</v>
      </c>
      <c r="H38" s="4">
        <f>Ref_table!H41</f>
        <v>245741.61</v>
      </c>
      <c r="I38" s="138">
        <f>Ref_table!I41</f>
        <v>813395.86</v>
      </c>
      <c r="J38" s="13">
        <f>Ref_table!J41</f>
        <v>0</v>
      </c>
      <c r="K38" s="160">
        <f>Ref_table!K41</f>
        <v>813395.86</v>
      </c>
      <c r="L38" s="118">
        <f>Ref_table!L41</f>
        <v>0</v>
      </c>
      <c r="M38" s="118">
        <f>Ref_table!M41</f>
        <v>0</v>
      </c>
      <c r="N38" s="547">
        <f>Ref_table!N41</f>
        <v>0</v>
      </c>
      <c r="O38" s="130">
        <f>Ref_table!O41</f>
        <v>0</v>
      </c>
      <c r="P38" s="463">
        <f>Ref_table!P41</f>
        <v>0</v>
      </c>
      <c r="Q38" s="469">
        <f>Ref_table!Q41</f>
        <v>0</v>
      </c>
    </row>
    <row r="39" spans="1:17" ht="15">
      <c r="A39" s="125" t="str">
        <f>Ref_table!A42</f>
        <v>a34</v>
      </c>
      <c r="B39" s="92" t="str">
        <f>Ref_table!B42</f>
        <v>3A Forests and transitional woodland</v>
      </c>
      <c r="C39" s="4">
        <f>Ref_table!C42</f>
        <v>66846.46</v>
      </c>
      <c r="D39" s="4">
        <f>Ref_table!D42</f>
        <v>61887.31</v>
      </c>
      <c r="E39" s="4">
        <f>Ref_table!E42</f>
        <v>122271.54</v>
      </c>
      <c r="F39" s="4">
        <f>Ref_table!F42</f>
        <v>547920.91</v>
      </c>
      <c r="G39" s="4">
        <f>Ref_table!G42</f>
        <v>76900.33</v>
      </c>
      <c r="H39" s="4">
        <f>Ref_table!H42</f>
        <v>679966.36</v>
      </c>
      <c r="I39" s="138">
        <f>Ref_table!I42</f>
        <v>1555792.91</v>
      </c>
      <c r="J39" s="13">
        <f>Ref_table!J42</f>
        <v>0</v>
      </c>
      <c r="K39" s="160">
        <f>Ref_table!K42</f>
        <v>1555792.91</v>
      </c>
      <c r="L39" s="118">
        <f>Ref_table!L42</f>
        <v>0</v>
      </c>
      <c r="M39" s="118">
        <f>Ref_table!M42</f>
        <v>0</v>
      </c>
      <c r="N39" s="547">
        <f>Ref_table!N42</f>
        <v>0</v>
      </c>
      <c r="O39" s="130">
        <f>Ref_table!O42</f>
        <v>0</v>
      </c>
      <c r="P39" s="463">
        <f>Ref_table!P42</f>
        <v>0</v>
      </c>
      <c r="Q39" s="469">
        <f>Ref_table!Q42</f>
        <v>0</v>
      </c>
    </row>
    <row r="40" spans="1:17" ht="15">
      <c r="A40" s="125" t="str">
        <f>Ref_table!A43</f>
        <v>a35</v>
      </c>
      <c r="B40" s="92" t="str">
        <f>Ref_table!B43</f>
        <v>3B Natural grassland, heathland, sclerophylous vegetation</v>
      </c>
      <c r="C40" s="4">
        <f>Ref_table!C43</f>
        <v>6801.7</v>
      </c>
      <c r="D40" s="4">
        <f>Ref_table!D43</f>
        <v>6694.44</v>
      </c>
      <c r="E40" s="4">
        <f>Ref_table!E43</f>
        <v>15105.97</v>
      </c>
      <c r="F40" s="4">
        <f>Ref_table!F43</f>
        <v>23082.38</v>
      </c>
      <c r="G40" s="4">
        <f>Ref_table!G43</f>
        <v>159335.76</v>
      </c>
      <c r="H40" s="4">
        <f>Ref_table!H43</f>
        <v>75970.78</v>
      </c>
      <c r="I40" s="138">
        <f>Ref_table!I43</f>
        <v>286991.03</v>
      </c>
      <c r="J40" s="13">
        <f>Ref_table!J43</f>
        <v>0</v>
      </c>
      <c r="K40" s="160">
        <f>Ref_table!K43</f>
        <v>286991.03</v>
      </c>
      <c r="L40" s="118">
        <f>Ref_table!L43</f>
        <v>0</v>
      </c>
      <c r="M40" s="118">
        <f>Ref_table!M43</f>
        <v>0</v>
      </c>
      <c r="N40" s="547">
        <f>Ref_table!N43</f>
        <v>0</v>
      </c>
      <c r="O40" s="130">
        <f>Ref_table!O43</f>
        <v>0</v>
      </c>
      <c r="P40" s="463">
        <f>Ref_table!P43</f>
        <v>0</v>
      </c>
      <c r="Q40" s="469">
        <f>Ref_table!Q43</f>
        <v>0</v>
      </c>
    </row>
    <row r="41" spans="1:17" ht="15">
      <c r="A41" s="125" t="str">
        <f>Ref_table!A44</f>
        <v>a36</v>
      </c>
      <c r="B41" s="92" t="str">
        <f>Ref_table!B44</f>
        <v>3C Open space with little or no vegetation</v>
      </c>
      <c r="C41" s="4">
        <f>Ref_table!C44</f>
        <v>1145.36</v>
      </c>
      <c r="D41" s="4">
        <f>Ref_table!D44</f>
        <v>616.01</v>
      </c>
      <c r="E41" s="4">
        <f>Ref_table!E44</f>
        <v>936.24</v>
      </c>
      <c r="F41" s="4">
        <f>Ref_table!F44</f>
        <v>2724.21</v>
      </c>
      <c r="G41" s="4">
        <f>Ref_table!G44</f>
        <v>41350.93</v>
      </c>
      <c r="H41" s="4">
        <f>Ref_table!H44</f>
        <v>13713.37</v>
      </c>
      <c r="I41" s="138">
        <f>Ref_table!I44</f>
        <v>60486.12</v>
      </c>
      <c r="J41" s="13">
        <f>Ref_table!J44</f>
        <v>0</v>
      </c>
      <c r="K41" s="160">
        <f>Ref_table!K44</f>
        <v>60486.12</v>
      </c>
      <c r="L41" s="118">
        <f>Ref_table!L44</f>
        <v>0</v>
      </c>
      <c r="M41" s="118">
        <f>Ref_table!M44</f>
        <v>0</v>
      </c>
      <c r="N41" s="547">
        <f>Ref_table!N44</f>
        <v>0</v>
      </c>
      <c r="O41" s="130">
        <f>Ref_table!O44</f>
        <v>0</v>
      </c>
      <c r="P41" s="463">
        <f>Ref_table!P44</f>
        <v>0</v>
      </c>
      <c r="Q41" s="469">
        <f>Ref_table!Q44</f>
        <v>0</v>
      </c>
    </row>
    <row r="42" spans="1:17" ht="15">
      <c r="A42" s="125" t="str">
        <f>Ref_table!A45</f>
        <v>a37</v>
      </c>
      <c r="B42" s="92" t="str">
        <f>Ref_table!B45</f>
        <v>4 Wetlands</v>
      </c>
      <c r="C42" s="4">
        <f>Ref_table!C45</f>
        <v>2357.35</v>
      </c>
      <c r="D42" s="4">
        <f>Ref_table!D45</f>
        <v>1854.16</v>
      </c>
      <c r="E42" s="4">
        <f>Ref_table!E45</f>
        <v>3964.26</v>
      </c>
      <c r="F42" s="4">
        <f>Ref_table!F45</f>
        <v>3506.04</v>
      </c>
      <c r="G42" s="4">
        <f>Ref_table!G45</f>
        <v>45899.51</v>
      </c>
      <c r="H42" s="4">
        <f>Ref_table!H45</f>
        <v>36886.01</v>
      </c>
      <c r="I42" s="138">
        <f>Ref_table!I45</f>
        <v>94467.33000000002</v>
      </c>
      <c r="J42" s="13">
        <f>Ref_table!J45</f>
        <v>0</v>
      </c>
      <c r="K42" s="160">
        <f>Ref_table!K45</f>
        <v>94467.33000000002</v>
      </c>
      <c r="L42" s="118">
        <f>Ref_table!L45</f>
        <v>0</v>
      </c>
      <c r="M42" s="118">
        <f>Ref_table!M45</f>
        <v>0</v>
      </c>
      <c r="N42" s="547">
        <f>Ref_table!N45</f>
        <v>0</v>
      </c>
      <c r="O42" s="130">
        <f>Ref_table!O45</f>
        <v>0</v>
      </c>
      <c r="P42" s="463">
        <f>Ref_table!P45</f>
        <v>0</v>
      </c>
      <c r="Q42" s="469">
        <f>Ref_table!Q45</f>
        <v>0</v>
      </c>
    </row>
    <row r="43" spans="1:17" ht="15.75" thickBot="1">
      <c r="A43" s="126" t="str">
        <f>Ref_table!A46</f>
        <v>a38</v>
      </c>
      <c r="B43" s="52" t="str">
        <f>Ref_table!B46</f>
        <v>5 Water bodies</v>
      </c>
      <c r="C43" s="46">
        <f>Ref_table!C46</f>
        <v>8721.88</v>
      </c>
      <c r="D43" s="46">
        <f>Ref_table!D46</f>
        <v>3296.39</v>
      </c>
      <c r="E43" s="46">
        <f>Ref_table!E46</f>
        <v>4039.21</v>
      </c>
      <c r="F43" s="46">
        <f>Ref_table!F46</f>
        <v>4357.87</v>
      </c>
      <c r="G43" s="46">
        <f>Ref_table!G46</f>
        <v>60680.91</v>
      </c>
      <c r="H43" s="46">
        <f>Ref_table!H46</f>
        <v>34941.49</v>
      </c>
      <c r="I43" s="161">
        <f>Ref_table!I46</f>
        <v>116037.75</v>
      </c>
      <c r="J43" s="260">
        <f>Ref_table!J46</f>
        <v>85527</v>
      </c>
      <c r="K43" s="198">
        <f>Ref_table!K46</f>
        <v>116037.75</v>
      </c>
      <c r="L43" s="195">
        <f>Ref_table!L46</f>
        <v>0</v>
      </c>
      <c r="M43" s="195">
        <f>Ref_table!M46</f>
        <v>0</v>
      </c>
      <c r="N43" s="551">
        <f>Ref_table!N46</f>
        <v>0</v>
      </c>
      <c r="O43" s="462">
        <f>Ref_table!O46</f>
        <v>0</v>
      </c>
      <c r="P43" s="467">
        <f>Ref_table!P46</f>
        <v>0</v>
      </c>
      <c r="Q43" s="475">
        <f>Ref_table!Q46</f>
        <v>0</v>
      </c>
    </row>
    <row r="44" ht="15">
      <c r="A44" s="93"/>
    </row>
  </sheetData>
  <sheetProtection/>
  <mergeCells count="5">
    <mergeCell ref="A3:B4"/>
    <mergeCell ref="C3:J3"/>
    <mergeCell ref="K3:K4"/>
    <mergeCell ref="L3:O3"/>
    <mergeCell ref="Q3:Q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Q65"/>
  <sheetViews>
    <sheetView showZeros="0" zoomScale="60" zoomScaleNormal="60" zoomScalePageLayoutView="0" workbookViewId="0" topLeftCell="A19">
      <selection activeCell="I19" sqref="I19"/>
    </sheetView>
  </sheetViews>
  <sheetFormatPr defaultColWidth="9.140625" defaultRowHeight="15"/>
  <cols>
    <col min="1" max="1" width="15.8515625" style="0" customWidth="1"/>
    <col min="2" max="2" width="99.7109375" style="0" customWidth="1"/>
    <col min="3" max="3" width="12.421875" style="0" customWidth="1"/>
    <col min="4" max="4" width="13.7109375" style="0" customWidth="1"/>
    <col min="5" max="5" width="14.8515625" style="0" customWidth="1"/>
    <col min="6" max="6" width="11.7109375" style="0" customWidth="1"/>
    <col min="7" max="7" width="13.8515625" style="0" customWidth="1"/>
    <col min="8" max="9" width="12.57421875" style="0" customWidth="1"/>
    <col min="10" max="10" width="14.140625" style="0" customWidth="1"/>
    <col min="11" max="11" width="15.00390625" style="0" customWidth="1"/>
    <col min="12" max="12" width="12.00390625" style="0" customWidth="1"/>
    <col min="13" max="13" width="14.140625" style="0" customWidth="1"/>
    <col min="14" max="14" width="12.00390625" style="0" customWidth="1"/>
    <col min="15" max="15" width="12.7109375" style="0" customWidth="1"/>
    <col min="16" max="17" width="17.7109375" style="0" customWidth="1"/>
  </cols>
  <sheetData>
    <row r="1" ht="15">
      <c r="A1" t="str">
        <f>'Table A - Land'!A1</f>
        <v>SECA - Simplified Ecosystem Capital Accounts</v>
      </c>
    </row>
    <row r="2" ht="15.75" thickBot="1">
      <c r="A2" s="93" t="str">
        <f>'Table A - Land'!A2</f>
        <v>Draft Tables and Mock-up</v>
      </c>
    </row>
    <row r="3" spans="1:17" ht="15.75">
      <c r="A3" s="1036" t="str">
        <f>Ref_table!A48</f>
        <v>[B] Ecosystem Capital Carbon/biomass Account:                                                                                             Net Ecosystem Carbon Balance (NECB) &amp; Net Ecosystem Accessible Carbon Surplus (NEACS)</v>
      </c>
      <c r="B3" s="1037">
        <f>Ref_table!B48</f>
        <v>0</v>
      </c>
      <c r="C3" s="1104" t="str">
        <f>Ref_table!C48</f>
        <v>Inland ecosytem landscapes</v>
      </c>
      <c r="D3" s="1105">
        <f>Ref_table!D48</f>
        <v>0</v>
      </c>
      <c r="E3" s="1105">
        <f>Ref_table!E48</f>
        <v>0</v>
      </c>
      <c r="F3" s="1105">
        <f>Ref_table!F48</f>
        <v>0</v>
      </c>
      <c r="G3" s="1105">
        <f>Ref_table!G48</f>
        <v>0</v>
      </c>
      <c r="H3" s="1105">
        <f>Ref_table!H48</f>
        <v>0</v>
      </c>
      <c r="I3" s="1105">
        <f>Ref_table!I48</f>
        <v>0</v>
      </c>
      <c r="J3" s="1106">
        <f>Ref_table!J48</f>
        <v>0</v>
      </c>
      <c r="K3" s="1048" t="str">
        <f>Ref_table!K48</f>
        <v>TOTAL 1 inland ecosystems</v>
      </c>
      <c r="L3" s="1098" t="str">
        <f>Ref_table!L48</f>
        <v>Sea</v>
      </c>
      <c r="M3" s="1097">
        <f>Ref_table!M48</f>
        <v>0</v>
      </c>
      <c r="N3" s="1097">
        <f>Ref_table!N48</f>
        <v>0</v>
      </c>
      <c r="O3" s="1099">
        <f>Ref_table!O48</f>
        <v>0</v>
      </c>
      <c r="P3" s="370" t="str">
        <f>Ref_table!P48</f>
        <v>Atmosphere</v>
      </c>
      <c r="Q3" s="1053" t="str">
        <f>Ref_table!Q48</f>
        <v>GRAND TOTAL</v>
      </c>
    </row>
    <row r="4" spans="1:17" ht="105.75" thickBot="1">
      <c r="A4" s="1040">
        <f>Ref_table!A49</f>
        <v>0</v>
      </c>
      <c r="B4" s="1041">
        <f>Ref_table!B49</f>
        <v>0</v>
      </c>
      <c r="C4" s="152" t="str">
        <f>Ref_table!C49</f>
        <v>Dominant urban landscape</v>
      </c>
      <c r="D4" s="152" t="str">
        <f>Ref_table!D49</f>
        <v>Dominant agriculture/ cropland</v>
      </c>
      <c r="E4" s="152" t="str">
        <f>Ref_table!E49</f>
        <v>Dominant agriculture/ mixed landscape</v>
      </c>
      <c r="F4" s="152" t="str">
        <f>Ref_table!F49</f>
        <v>Dominant forested landscape</v>
      </c>
      <c r="G4" s="152" t="str">
        <f>Ref_table!G49</f>
        <v>Other dominant natural landscape</v>
      </c>
      <c r="H4" s="152" t="str">
        <f>Ref_table!H49</f>
        <v>Composite landscape</v>
      </c>
      <c r="I4" s="354" t="str">
        <f>Ref_table!I49</f>
        <v>TOTAL  Land</v>
      </c>
      <c r="J4" s="154" t="str">
        <f>Ref_table!J49</f>
        <v>Rivers - srkm</v>
      </c>
      <c r="K4" s="1049">
        <f>Ref_table!K49</f>
        <v>0</v>
      </c>
      <c r="L4" s="353" t="str">
        <f>Ref_table!L49</f>
        <v>Fisheries (EEZ, all fishing areas)</v>
      </c>
      <c r="M4" s="152" t="str">
        <f>Ref_table!M49</f>
        <v>International</v>
      </c>
      <c r="N4" s="739" t="str">
        <f>Ref_table!N49</f>
        <v>TOTAL  Fisheries</v>
      </c>
      <c r="O4" s="708" t="str">
        <f>Ref_table!O49</f>
        <v>Regulation potential (C assimilation)</v>
      </c>
      <c r="P4" s="371" t="str">
        <f>Ref_table!P49</f>
        <v>Regulation potential (C assimilation)</v>
      </c>
      <c r="Q4" s="1107">
        <f>Ref_table!Q49</f>
        <v>0</v>
      </c>
    </row>
    <row r="5" spans="1:17" ht="15.75">
      <c r="A5" s="1062" t="str">
        <f>Ref_table!A50</f>
        <v>Stock accounts</v>
      </c>
      <c r="B5" s="1063">
        <f>Ref_table!B50</f>
        <v>0</v>
      </c>
      <c r="C5" s="1063">
        <f>Ref_table!C50</f>
        <v>0</v>
      </c>
      <c r="D5" s="1063">
        <f>Ref_table!D50</f>
        <v>0</v>
      </c>
      <c r="E5" s="1063">
        <f>Ref_table!E50</f>
        <v>0</v>
      </c>
      <c r="F5" s="1063">
        <f>Ref_table!F50</f>
        <v>0</v>
      </c>
      <c r="G5" s="1063">
        <f>Ref_table!G50</f>
        <v>0</v>
      </c>
      <c r="H5" s="1063">
        <f>Ref_table!H50</f>
        <v>0</v>
      </c>
      <c r="I5" s="1063">
        <f>Ref_table!I50</f>
        <v>0</v>
      </c>
      <c r="J5" s="1063">
        <f>Ref_table!J50</f>
        <v>0</v>
      </c>
      <c r="K5" s="1063">
        <f>Ref_table!K50</f>
        <v>0</v>
      </c>
      <c r="L5" s="228">
        <f>Ref_table!L50</f>
        <v>0</v>
      </c>
      <c r="M5" s="183">
        <f>Ref_table!M50</f>
        <v>0</v>
      </c>
      <c r="N5" s="552">
        <f>Ref_table!N50</f>
        <v>0</v>
      </c>
      <c r="O5" s="184">
        <f>Ref_table!O50</f>
        <v>0</v>
      </c>
      <c r="P5" s="670">
        <f>Ref_table!P50</f>
        <v>0</v>
      </c>
      <c r="Q5" s="387">
        <f>Ref_table!Q50</f>
        <v>0</v>
      </c>
    </row>
    <row r="6" spans="1:17" ht="15">
      <c r="A6" s="71" t="str">
        <f>Ref_table!A51</f>
        <v>B1</v>
      </c>
      <c r="B6" s="92" t="str">
        <f>Ref_table!B51</f>
        <v>Stock t1 (~1995), 10^6 tonnes of C</v>
      </c>
      <c r="C6" s="4">
        <f>Ref_table!C51</f>
        <v>770.812746</v>
      </c>
      <c r="D6" s="4">
        <f>Ref_table!D51</f>
        <v>5281.64518</v>
      </c>
      <c r="E6" s="4">
        <f>Ref_table!E51</f>
        <v>5035.291115</v>
      </c>
      <c r="F6" s="4">
        <f>Ref_table!F51</f>
        <v>8177.386319999998</v>
      </c>
      <c r="G6" s="4">
        <f>Ref_table!G51</f>
        <v>2470.68039</v>
      </c>
      <c r="H6" s="4">
        <f>Ref_table!H51</f>
        <v>10674.16</v>
      </c>
      <c r="I6" s="132">
        <f>Ref_table!I51</f>
        <v>21735.815751</v>
      </c>
      <c r="J6" s="14">
        <f>Ref_table!J51</f>
        <v>0</v>
      </c>
      <c r="K6" s="298">
        <f>Ref_table!K51</f>
        <v>21735.815751</v>
      </c>
      <c r="L6" s="723">
        <f>Ref_table!L51</f>
        <v>40.104</v>
      </c>
      <c r="M6" s="92">
        <f>Ref_table!M51</f>
        <v>0</v>
      </c>
      <c r="N6" s="139">
        <f>Ref_table!N51</f>
        <v>0</v>
      </c>
      <c r="O6" s="23">
        <f>Ref_table!O51</f>
        <v>0</v>
      </c>
      <c r="P6" s="527">
        <f>Ref_table!P51</f>
        <v>13717.0719</v>
      </c>
      <c r="Q6" s="99">
        <f>Ref_table!Q51</f>
        <v>0</v>
      </c>
    </row>
    <row r="7" spans="1:17" ht="15">
      <c r="A7" s="77" t="str">
        <f>Ref_table!A52</f>
        <v>b11</v>
      </c>
      <c r="B7" s="60" t="str">
        <f>Ref_table!B52</f>
        <v>Stock t1 (~1995), 10^6 tonnes of C/ Soil</v>
      </c>
      <c r="C7" s="38">
        <f>Ref_table!C52</f>
        <v>616.6501968</v>
      </c>
      <c r="D7" s="38">
        <f>Ref_table!D52</f>
        <v>4225.316144</v>
      </c>
      <c r="E7" s="38">
        <f>Ref_table!E52</f>
        <v>4028.232892</v>
      </c>
      <c r="F7" s="38">
        <f>Ref_table!F52</f>
        <v>2453.2158959999992</v>
      </c>
      <c r="G7" s="38">
        <f>Ref_table!G52</f>
        <v>1235.340195</v>
      </c>
      <c r="H7" s="38">
        <f>Ref_table!H52</f>
        <v>6404.496</v>
      </c>
      <c r="I7" s="249">
        <f>Ref_table!I52</f>
        <v>12558.755323800002</v>
      </c>
      <c r="J7" s="39">
        <f>Ref_table!J52</f>
        <v>0</v>
      </c>
      <c r="K7" s="720">
        <f>Ref_table!K52</f>
        <v>12558.755323800002</v>
      </c>
      <c r="L7" s="721">
        <f>Ref_table!L52</f>
        <v>0</v>
      </c>
      <c r="M7" s="37">
        <f>Ref_table!M52</f>
        <v>0</v>
      </c>
      <c r="N7" s="722">
        <f>Ref_table!N52</f>
        <v>0</v>
      </c>
      <c r="O7" s="657">
        <f>Ref_table!O52</f>
        <v>0</v>
      </c>
      <c r="P7" s="724">
        <f>Ref_table!P52</f>
        <v>0</v>
      </c>
      <c r="Q7" s="368">
        <f>Ref_table!Q52</f>
        <v>0</v>
      </c>
    </row>
    <row r="8" spans="1:17" ht="15">
      <c r="A8" s="77" t="str">
        <f>Ref_table!A53</f>
        <v>b12</v>
      </c>
      <c r="B8" s="60" t="str">
        <f>Ref_table!B53</f>
        <v>Stock t1 (~1995), 10^6 tonnes of C/ trees &amp; shrubs</v>
      </c>
      <c r="C8" s="38">
        <f>Ref_table!C53</f>
        <v>154.16254919999994</v>
      </c>
      <c r="D8" s="38">
        <f>Ref_table!D53</f>
        <v>1056.329036</v>
      </c>
      <c r="E8" s="38">
        <f>Ref_table!E53</f>
        <v>1007.058223</v>
      </c>
      <c r="F8" s="38">
        <f>Ref_table!F53</f>
        <v>5724.170423999998</v>
      </c>
      <c r="G8" s="38">
        <f>Ref_table!G53</f>
        <v>1235.340195</v>
      </c>
      <c r="H8" s="38">
        <f>Ref_table!H53</f>
        <v>4269.664</v>
      </c>
      <c r="I8" s="249">
        <f>Ref_table!I53</f>
        <v>9177.060427199998</v>
      </c>
      <c r="J8" s="39">
        <f>Ref_table!J53</f>
        <v>0</v>
      </c>
      <c r="K8" s="720">
        <f>Ref_table!K53</f>
        <v>9177.060427199998</v>
      </c>
      <c r="L8" s="721">
        <f>Ref_table!L53</f>
        <v>0</v>
      </c>
      <c r="M8" s="37">
        <f>Ref_table!M53</f>
        <v>0</v>
      </c>
      <c r="N8" s="722">
        <f>Ref_table!N53</f>
        <v>0</v>
      </c>
      <c r="O8" s="657">
        <f>Ref_table!O53</f>
        <v>0</v>
      </c>
      <c r="P8" s="658">
        <f>Ref_table!P53</f>
        <v>0</v>
      </c>
      <c r="Q8" s="368">
        <f>Ref_table!Q53</f>
        <v>0</v>
      </c>
    </row>
    <row r="9" spans="1:17" ht="15">
      <c r="A9" s="71" t="str">
        <f>Ref_table!A54</f>
        <v>B2</v>
      </c>
      <c r="B9" s="92" t="str">
        <f>Ref_table!B54</f>
        <v>Stock t10 (~ 2005), 10^6 tonnes of C</v>
      </c>
      <c r="C9" s="4">
        <f>Ref_table!C54</f>
        <v>864.3127459999998</v>
      </c>
      <c r="D9" s="4">
        <f>Ref_table!D54</f>
        <v>5329.14518</v>
      </c>
      <c r="E9" s="4">
        <f>Ref_table!E54</f>
        <v>5597.291115</v>
      </c>
      <c r="F9" s="4">
        <f>Ref_table!F54</f>
        <v>9167.386319999998</v>
      </c>
      <c r="G9" s="4">
        <f>Ref_table!G54</f>
        <v>2554.68039</v>
      </c>
      <c r="H9" s="4">
        <f>Ref_table!H54</f>
        <v>10934.16</v>
      </c>
      <c r="I9" s="132">
        <f>Ref_table!I54</f>
        <v>23512.815751</v>
      </c>
      <c r="J9" s="14">
        <f>Ref_table!J54</f>
        <v>0</v>
      </c>
      <c r="K9" s="298">
        <f>Ref_table!K54</f>
        <v>23512.815751</v>
      </c>
      <c r="L9" s="723">
        <f>Ref_table!L54</f>
        <v>24.947999999999997</v>
      </c>
      <c r="M9" s="92">
        <f>Ref_table!M54</f>
        <v>0</v>
      </c>
      <c r="N9" s="139">
        <f>Ref_table!N54</f>
        <v>0</v>
      </c>
      <c r="O9" s="23">
        <f>Ref_table!O54</f>
        <v>0</v>
      </c>
      <c r="P9" s="527">
        <f>Ref_table!P54</f>
        <v>12509.9695728</v>
      </c>
      <c r="Q9" s="99">
        <f>Ref_table!Q54</f>
        <v>0</v>
      </c>
    </row>
    <row r="10" spans="1:17" ht="15">
      <c r="A10" s="77" t="str">
        <f>Ref_table!A55</f>
        <v>b21</v>
      </c>
      <c r="B10" s="60" t="str">
        <f>Ref_table!B55</f>
        <v>Stock t10 (~2005), 10^6 tonnes of C/ soil</v>
      </c>
      <c r="C10" s="4">
        <f>Ref_table!C55</f>
        <v>579.50081442</v>
      </c>
      <c r="D10" s="4">
        <f>Ref_table!D55</f>
        <v>4059.7417886000003</v>
      </c>
      <c r="E10" s="4">
        <f>Ref_table!E55</f>
        <v>3949.77998085</v>
      </c>
      <c r="F10" s="4">
        <f>Ref_table!F55</f>
        <v>2453.2158959999997</v>
      </c>
      <c r="G10" s="4">
        <f>Ref_table!G55</f>
        <v>1235.340195</v>
      </c>
      <c r="H10" s="4">
        <f>Ref_table!H55</f>
        <v>5725.0464</v>
      </c>
      <c r="I10" s="132">
        <f>Ref_table!I55</f>
        <v>12277.578674870001</v>
      </c>
      <c r="J10" s="14">
        <f>Ref_table!J55</f>
        <v>0</v>
      </c>
      <c r="K10" s="298">
        <f>Ref_table!K55</f>
        <v>12277.578674870001</v>
      </c>
      <c r="L10" s="350">
        <f>Ref_table!L55</f>
        <v>0</v>
      </c>
      <c r="M10" s="118">
        <f>Ref_table!M55</f>
        <v>0</v>
      </c>
      <c r="N10" s="547">
        <f>Ref_table!N55</f>
        <v>0</v>
      </c>
      <c r="O10" s="23">
        <f>Ref_table!O55</f>
        <v>0</v>
      </c>
      <c r="P10" s="526">
        <f>Ref_table!P55</f>
        <v>0</v>
      </c>
      <c r="Q10" s="99">
        <f>Ref_table!Q55</f>
        <v>0</v>
      </c>
    </row>
    <row r="11" spans="1:17" ht="15">
      <c r="A11" s="77" t="str">
        <f>Ref_table!A56</f>
        <v>b22</v>
      </c>
      <c r="B11" s="60" t="str">
        <f>Ref_table!B56</f>
        <v>Stock t10 (~2005), 10^6 tonnes of C/ trees &amp; shrubs</v>
      </c>
      <c r="C11" s="4">
        <f>Ref_table!C56</f>
        <v>284.81193157999985</v>
      </c>
      <c r="D11" s="4">
        <f>Ref_table!D56</f>
        <v>1269.4033914</v>
      </c>
      <c r="E11" s="4">
        <f>Ref_table!E56</f>
        <v>1647.51113415</v>
      </c>
      <c r="F11" s="4">
        <f>Ref_table!F56</f>
        <v>6714.170423999998</v>
      </c>
      <c r="G11" s="4">
        <f>Ref_table!G56</f>
        <v>1319.340195</v>
      </c>
      <c r="H11" s="4">
        <f>Ref_table!H56</f>
        <v>5209.1136</v>
      </c>
      <c r="I11" s="132">
        <f>Ref_table!I56</f>
        <v>11235.237076129999</v>
      </c>
      <c r="J11" s="14">
        <f>Ref_table!J56</f>
        <v>0</v>
      </c>
      <c r="K11" s="298">
        <f>Ref_table!K56</f>
        <v>11235.237076129999</v>
      </c>
      <c r="L11" s="350">
        <f>Ref_table!L56</f>
        <v>0</v>
      </c>
      <c r="M11" s="118">
        <f>Ref_table!M56</f>
        <v>0</v>
      </c>
      <c r="N11" s="547">
        <f>Ref_table!N56</f>
        <v>0</v>
      </c>
      <c r="O11" s="23">
        <f>Ref_table!O56</f>
        <v>0</v>
      </c>
      <c r="P11" s="526">
        <f>Ref_table!P56</f>
        <v>0</v>
      </c>
      <c r="Q11" s="99">
        <f>Ref_table!Q56</f>
        <v>0</v>
      </c>
    </row>
    <row r="12" spans="1:17" ht="15">
      <c r="A12" s="71" t="str">
        <f>Ref_table!A57</f>
        <v>B3</v>
      </c>
      <c r="B12" s="92" t="str">
        <f>Ref_table!B57</f>
        <v>Change t10-t1, , 10^6 tonnes of C</v>
      </c>
      <c r="C12" s="4">
        <f>Ref_table!C57</f>
        <v>93.49999999999994</v>
      </c>
      <c r="D12" s="4">
        <f>Ref_table!D57</f>
        <v>47.5</v>
      </c>
      <c r="E12" s="4">
        <f>Ref_table!E57</f>
        <v>561.9999999999999</v>
      </c>
      <c r="F12" s="4">
        <f>Ref_table!F57</f>
        <v>990</v>
      </c>
      <c r="G12" s="4">
        <f>Ref_table!G57</f>
        <v>84.00000000000006</v>
      </c>
      <c r="H12" s="4">
        <f>Ref_table!H57</f>
        <v>260</v>
      </c>
      <c r="I12" s="132">
        <f>Ref_table!I57</f>
        <v>1776.9999999999998</v>
      </c>
      <c r="J12" s="14">
        <f>Ref_table!J57</f>
        <v>0</v>
      </c>
      <c r="K12" s="298">
        <f>Ref_table!K57</f>
        <v>1776.9999999999998</v>
      </c>
      <c r="L12" s="341">
        <f>Ref_table!L57</f>
        <v>-15.156000000000002</v>
      </c>
      <c r="M12" s="171">
        <f>Ref_table!M57</f>
        <v>0</v>
      </c>
      <c r="N12" s="553">
        <f>Ref_table!N57</f>
        <v>0</v>
      </c>
      <c r="O12" s="24">
        <f>Ref_table!O57</f>
        <v>0</v>
      </c>
      <c r="P12" s="526">
        <f>Ref_table!P57</f>
        <v>-1207.1023272000002</v>
      </c>
      <c r="Q12" s="99">
        <f>Ref_table!Q57</f>
        <v>0</v>
      </c>
    </row>
    <row r="13" spans="1:17" ht="15">
      <c r="A13" s="77" t="str">
        <f>Ref_table!A58</f>
        <v>b31</v>
      </c>
      <c r="B13" s="60" t="str">
        <f>Ref_table!B58</f>
        <v>Change t10-t1, , 10^6 tonnes of  C/ soil</v>
      </c>
      <c r="C13" s="4">
        <f>Ref_table!C58</f>
        <v>-37.14938238000002</v>
      </c>
      <c r="D13" s="4">
        <f>Ref_table!D58</f>
        <v>-165.57435540000006</v>
      </c>
      <c r="E13" s="17">
        <f>Ref_table!E58</f>
        <v>-78.45291115000009</v>
      </c>
      <c r="F13" s="4">
        <f>Ref_table!F58</f>
        <v>0</v>
      </c>
      <c r="G13" s="4">
        <f>Ref_table!G58</f>
        <v>0</v>
      </c>
      <c r="H13" s="4">
        <f>Ref_table!H58</f>
        <v>-679.4495999999999</v>
      </c>
      <c r="I13" s="132">
        <f>Ref_table!I58</f>
        <v>-281.17664893000017</v>
      </c>
      <c r="J13" s="14">
        <f>Ref_table!J58</f>
        <v>0</v>
      </c>
      <c r="K13" s="298">
        <f>Ref_table!K58</f>
        <v>-281.17664893000017</v>
      </c>
      <c r="L13" s="232">
        <f>Ref_table!L58</f>
        <v>0</v>
      </c>
      <c r="M13" s="171">
        <f>Ref_table!M58</f>
        <v>0</v>
      </c>
      <c r="N13" s="553">
        <f>Ref_table!N58</f>
        <v>0</v>
      </c>
      <c r="O13" s="24">
        <f>Ref_table!O58</f>
        <v>0</v>
      </c>
      <c r="P13" s="527">
        <f>Ref_table!P58</f>
        <v>0</v>
      </c>
      <c r="Q13" s="99">
        <f>Ref_table!Q58</f>
        <v>0</v>
      </c>
    </row>
    <row r="14" spans="1:17" ht="15">
      <c r="A14" s="77" t="str">
        <f>Ref_table!A59</f>
        <v>b32</v>
      </c>
      <c r="B14" s="60" t="str">
        <f>Ref_table!B59</f>
        <v>Change t10-t1, , 10^6 tonnes of C/ trees &amp; shrub</v>
      </c>
      <c r="C14" s="4">
        <f>Ref_table!C59</f>
        <v>130.6493823799999</v>
      </c>
      <c r="D14" s="4">
        <f>Ref_table!D59</f>
        <v>213.07435539999983</v>
      </c>
      <c r="E14" s="4">
        <f>Ref_table!E59</f>
        <v>640.4529111500001</v>
      </c>
      <c r="F14" s="4">
        <f>Ref_table!F59</f>
        <v>990</v>
      </c>
      <c r="G14" s="4">
        <f>Ref_table!G59</f>
        <v>84</v>
      </c>
      <c r="H14" s="4">
        <f>Ref_table!H59</f>
        <v>939.4495999999999</v>
      </c>
      <c r="I14" s="132">
        <f>Ref_table!I59</f>
        <v>2058.17664893</v>
      </c>
      <c r="J14" s="14">
        <f>Ref_table!J59</f>
        <v>0</v>
      </c>
      <c r="K14" s="298">
        <f>Ref_table!K59</f>
        <v>2058.17664893</v>
      </c>
      <c r="L14" s="232">
        <f>Ref_table!L59</f>
        <v>0</v>
      </c>
      <c r="M14" s="171">
        <f>Ref_table!M59</f>
        <v>0</v>
      </c>
      <c r="N14" s="553">
        <f>Ref_table!N59</f>
        <v>0</v>
      </c>
      <c r="O14" s="24">
        <f>Ref_table!O59</f>
        <v>0</v>
      </c>
      <c r="P14" s="527">
        <f>Ref_table!P59</f>
        <v>0</v>
      </c>
      <c r="Q14" s="99">
        <f>Ref_table!Q59</f>
        <v>0</v>
      </c>
    </row>
    <row r="15" spans="1:17" ht="15.75" thickBot="1">
      <c r="A15" s="77" t="str">
        <f>Ref_table!A60</f>
        <v>b33</v>
      </c>
      <c r="B15" s="52" t="str">
        <f>Ref_table!B60</f>
        <v>Mean annual C increase %</v>
      </c>
      <c r="C15" s="173">
        <f>Ref_table!C60</f>
        <v>1.2130053697892529</v>
      </c>
      <c r="D15" s="173">
        <f>Ref_table!D60</f>
        <v>0.08993409890514455</v>
      </c>
      <c r="E15" s="173">
        <f>Ref_table!E60</f>
        <v>1.1161221608931737</v>
      </c>
      <c r="F15" s="173">
        <f>Ref_table!F60</f>
        <v>1.2106557783367635</v>
      </c>
      <c r="G15" s="173">
        <f>Ref_table!G60</f>
        <v>0.33998731823018213</v>
      </c>
      <c r="H15" s="173">
        <f>Ref_table!H60</f>
        <v>0.2435788858327025</v>
      </c>
      <c r="I15" s="266">
        <f>Ref_table!I60</f>
        <v>0.8175446554925114</v>
      </c>
      <c r="J15" s="47">
        <f>Ref_table!J60</f>
        <v>0</v>
      </c>
      <c r="K15" s="349">
        <f>Ref_table!K60</f>
        <v>0.8175446554925114</v>
      </c>
      <c r="L15" s="351">
        <f>Ref_table!L60</f>
        <v>-3.7791741472172355</v>
      </c>
      <c r="M15" s="352">
        <f>Ref_table!M60</f>
        <v>0</v>
      </c>
      <c r="N15" s="554">
        <f>Ref_table!N60</f>
        <v>0</v>
      </c>
      <c r="O15" s="525">
        <f>Ref_table!O60</f>
        <v>0</v>
      </c>
      <c r="P15" s="709">
        <f>Ref_table!P60</f>
        <v>-0.88</v>
      </c>
      <c r="Q15" s="515">
        <f>Ref_table!Q60</f>
        <v>0</v>
      </c>
    </row>
    <row r="16" spans="1:17" ht="15.75">
      <c r="A16" s="1062" t="str">
        <f>Ref_table!A61</f>
        <v>B4 Mean annual carbon/biomass account and NECB</v>
      </c>
      <c r="B16" s="1063">
        <f>Ref_table!B61</f>
        <v>0</v>
      </c>
      <c r="C16" s="1063">
        <f>Ref_table!C61</f>
        <v>0</v>
      </c>
      <c r="D16" s="1063">
        <f>Ref_table!D61</f>
        <v>0</v>
      </c>
      <c r="E16" s="1063">
        <f>Ref_table!E61</f>
        <v>0</v>
      </c>
      <c r="F16" s="1063">
        <f>Ref_table!F61</f>
        <v>0</v>
      </c>
      <c r="G16" s="1063">
        <f>Ref_table!G61</f>
        <v>0</v>
      </c>
      <c r="H16" s="1063">
        <f>Ref_table!H61</f>
        <v>0</v>
      </c>
      <c r="I16" s="1063">
        <f>Ref_table!I61</f>
        <v>0</v>
      </c>
      <c r="J16" s="1063">
        <f>Ref_table!J61</f>
        <v>0</v>
      </c>
      <c r="K16" s="1064">
        <f>Ref_table!K61</f>
        <v>0</v>
      </c>
      <c r="L16" s="481">
        <f>Ref_table!L61</f>
        <v>0</v>
      </c>
      <c r="M16" s="482">
        <f>Ref_table!M61</f>
        <v>0</v>
      </c>
      <c r="N16" s="482">
        <f>Ref_table!N61</f>
        <v>0</v>
      </c>
      <c r="O16" s="256">
        <f>Ref_table!O61</f>
        <v>0</v>
      </c>
      <c r="P16" s="536">
        <f>Ref_table!P61</f>
        <v>0</v>
      </c>
      <c r="Q16" s="483">
        <f>Ref_table!Q61</f>
        <v>0</v>
      </c>
    </row>
    <row r="17" spans="1:17" ht="15">
      <c r="A17" s="988" t="str">
        <f>Ref_table!A62</f>
        <v>b41</v>
      </c>
      <c r="B17" s="987" t="str">
        <f>Ref_table!B62</f>
        <v>GPP 10^6 tonnes of C</v>
      </c>
      <c r="C17" s="106">
        <f>Ref_table!C62</f>
        <v>278.88</v>
      </c>
      <c r="D17" s="106">
        <f>Ref_table!D62</f>
        <v>1024.8000000000002</v>
      </c>
      <c r="E17" s="106">
        <f>Ref_table!E62</f>
        <v>1142.4</v>
      </c>
      <c r="F17" s="106">
        <f>Ref_table!F62</f>
        <v>1512</v>
      </c>
      <c r="G17" s="106">
        <f>Ref_table!G62</f>
        <v>336</v>
      </c>
      <c r="H17" s="106">
        <f>Ref_table!H62</f>
        <v>1075.2</v>
      </c>
      <c r="I17" s="267">
        <f>Ref_table!I62</f>
        <v>5369.280000000001</v>
      </c>
      <c r="J17" s="145">
        <f>Ref_table!J62</f>
        <v>0</v>
      </c>
      <c r="K17" s="172">
        <f>Ref_table!K62</f>
        <v>5369.280000000001</v>
      </c>
      <c r="L17" s="436">
        <f>Ref_table!L62</f>
        <v>0</v>
      </c>
      <c r="M17" s="174">
        <f>Ref_table!M62</f>
        <v>0</v>
      </c>
      <c r="N17" s="553">
        <f>Ref_table!N62</f>
        <v>0</v>
      </c>
      <c r="O17" s="359">
        <f>Ref_table!O62</f>
        <v>0</v>
      </c>
      <c r="P17" s="543">
        <f>Ref_table!P62</f>
        <v>0</v>
      </c>
      <c r="Q17" s="373">
        <f>Ref_table!Q62</f>
        <v>0</v>
      </c>
    </row>
    <row r="18" spans="1:17" ht="15">
      <c r="A18" s="988" t="str">
        <f>Ref_table!A63</f>
        <v>b42</v>
      </c>
      <c r="B18" s="112" t="str">
        <f>Ref_table!B63</f>
        <v>Rp = Respiration by Plants</v>
      </c>
      <c r="C18" s="4">
        <f>Ref_table!C63</f>
        <v>146.08</v>
      </c>
      <c r="D18" s="4">
        <f>Ref_table!D63</f>
        <v>536.8000000000001</v>
      </c>
      <c r="E18" s="4">
        <f>Ref_table!E63</f>
        <v>598.4000000000001</v>
      </c>
      <c r="F18" s="4">
        <f>Ref_table!F63</f>
        <v>792.0000000000001</v>
      </c>
      <c r="G18" s="4">
        <f>Ref_table!G63</f>
        <v>176</v>
      </c>
      <c r="H18" s="4">
        <f>Ref_table!H63</f>
        <v>563.2</v>
      </c>
      <c r="I18" s="132">
        <f>Ref_table!I63</f>
        <v>2812.4800000000005</v>
      </c>
      <c r="J18" s="13">
        <f>Ref_table!J63</f>
        <v>0</v>
      </c>
      <c r="K18" s="172">
        <f>Ref_table!K63</f>
        <v>2812.4800000000005</v>
      </c>
      <c r="L18" s="350">
        <f>Ref_table!L63</f>
        <v>0</v>
      </c>
      <c r="M18" s="118">
        <f>Ref_table!M63</f>
        <v>0</v>
      </c>
      <c r="N18" s="547">
        <f>Ref_table!N63</f>
        <v>0</v>
      </c>
      <c r="O18" s="130">
        <f>Ref_table!O63</f>
        <v>0</v>
      </c>
      <c r="P18" s="526">
        <f>Ref_table!P63</f>
        <v>-2812.4800000000005</v>
      </c>
      <c r="Q18" s="99">
        <f>Ref_table!Q63</f>
        <v>0</v>
      </c>
    </row>
    <row r="19" spans="1:17" ht="15">
      <c r="A19" s="988" t="str">
        <f>Ref_table!A64</f>
        <v>b43</v>
      </c>
      <c r="B19" s="31" t="str">
        <f>Ref_table!B64</f>
        <v>NPP 10^6 tonnes of C</v>
      </c>
      <c r="C19" s="4">
        <f>Ref_table!C64</f>
        <v>132.8</v>
      </c>
      <c r="D19" s="4">
        <f>Ref_table!D64</f>
        <v>488</v>
      </c>
      <c r="E19" s="4">
        <f>Ref_table!E64</f>
        <v>544</v>
      </c>
      <c r="F19" s="4">
        <f>Ref_table!F64</f>
        <v>720</v>
      </c>
      <c r="G19" s="4">
        <f>Ref_table!G64</f>
        <v>160</v>
      </c>
      <c r="H19" s="4">
        <f>Ref_table!H64</f>
        <v>512</v>
      </c>
      <c r="I19" s="132">
        <f>Ref_table!I64</f>
        <v>2556.8</v>
      </c>
      <c r="J19" s="16">
        <f>Ref_table!J64</f>
        <v>0</v>
      </c>
      <c r="K19" s="172">
        <f>Ref_table!K64</f>
        <v>2556.8</v>
      </c>
      <c r="L19" s="476">
        <f>Ref_table!L64</f>
        <v>0</v>
      </c>
      <c r="M19" s="175">
        <f>Ref_table!M64</f>
        <v>0</v>
      </c>
      <c r="N19" s="555">
        <f>Ref_table!N64</f>
        <v>0</v>
      </c>
      <c r="O19" s="30">
        <f>Ref_table!O64</f>
        <v>0</v>
      </c>
      <c r="P19" s="526">
        <f>Ref_table!P64</f>
        <v>0</v>
      </c>
      <c r="Q19" s="99">
        <f>Ref_table!Q64</f>
        <v>0</v>
      </c>
    </row>
    <row r="20" spans="1:17" ht="15">
      <c r="A20" s="988" t="str">
        <f>Ref_table!A65</f>
        <v>b44</v>
      </c>
      <c r="B20" s="112" t="str">
        <f>Ref_table!B65</f>
        <v>Rh = Respiration by Heterotrophs and Decomposers</v>
      </c>
      <c r="C20" s="33">
        <f>Ref_table!C65</f>
        <v>49.8</v>
      </c>
      <c r="D20" s="33">
        <f>Ref_table!D65</f>
        <v>183</v>
      </c>
      <c r="E20" s="33">
        <f>Ref_table!E65</f>
        <v>204</v>
      </c>
      <c r="F20" s="33">
        <f>Ref_table!F65</f>
        <v>270</v>
      </c>
      <c r="G20" s="33">
        <f>Ref_table!G65</f>
        <v>60</v>
      </c>
      <c r="H20" s="33">
        <f>Ref_table!H65</f>
        <v>192</v>
      </c>
      <c r="I20" s="137">
        <f>Ref_table!I65</f>
        <v>958.8</v>
      </c>
      <c r="J20" s="16">
        <f>Ref_table!J65</f>
        <v>0</v>
      </c>
      <c r="K20" s="172">
        <f>Ref_table!K65</f>
        <v>958.8</v>
      </c>
      <c r="L20" s="476">
        <f>Ref_table!L65</f>
        <v>0</v>
      </c>
      <c r="M20" s="175">
        <f>Ref_table!M65</f>
        <v>0</v>
      </c>
      <c r="N20" s="555">
        <f>Ref_table!N65</f>
        <v>0</v>
      </c>
      <c r="O20" s="30">
        <f>Ref_table!O65</f>
        <v>0</v>
      </c>
      <c r="P20" s="526">
        <f>Ref_table!P65</f>
        <v>-958.8</v>
      </c>
      <c r="Q20" s="99">
        <f>Ref_table!Q65</f>
        <v>0</v>
      </c>
    </row>
    <row r="21" spans="1:17" ht="15">
      <c r="A21" s="988" t="str">
        <f>Ref_table!A66</f>
        <v>b45</v>
      </c>
      <c r="B21" s="31" t="str">
        <f>Ref_table!B66</f>
        <v>NEP 10^6 tonnes of C</v>
      </c>
      <c r="C21" s="107">
        <f>Ref_table!C66</f>
        <v>83</v>
      </c>
      <c r="D21" s="107">
        <f>Ref_table!D66</f>
        <v>305</v>
      </c>
      <c r="E21" s="107">
        <f>Ref_table!E66</f>
        <v>340</v>
      </c>
      <c r="F21" s="107">
        <f>Ref_table!F66</f>
        <v>450</v>
      </c>
      <c r="G21" s="107">
        <f>Ref_table!G66</f>
        <v>100</v>
      </c>
      <c r="H21" s="107">
        <f>Ref_table!H66</f>
        <v>320</v>
      </c>
      <c r="I21" s="137">
        <f>Ref_table!I66</f>
        <v>1598</v>
      </c>
      <c r="J21" s="87">
        <f>Ref_table!J66</f>
        <v>0</v>
      </c>
      <c r="K21" s="172">
        <f>Ref_table!K66</f>
        <v>1598</v>
      </c>
      <c r="L21" s="477">
        <f>Ref_table!L66</f>
        <v>12</v>
      </c>
      <c r="M21" s="157">
        <f>Ref_table!M66</f>
        <v>8</v>
      </c>
      <c r="N21" s="556">
        <f>Ref_table!N66</f>
        <v>0</v>
      </c>
      <c r="O21" s="406">
        <f>Ref_table!O66</f>
        <v>0</v>
      </c>
      <c r="P21" s="526">
        <f>Ref_table!P66</f>
        <v>0</v>
      </c>
      <c r="Q21" s="374">
        <f>Ref_table!Q66</f>
        <v>0</v>
      </c>
    </row>
    <row r="22" spans="1:17" ht="15">
      <c r="A22" s="988" t="str">
        <f>Ref_table!A67</f>
        <v>b46</v>
      </c>
      <c r="B22" s="31" t="str">
        <f>Ref_table!B67</f>
        <v>Leakages of C</v>
      </c>
      <c r="C22" s="107">
        <f>Ref_table!C67</f>
        <v>5.15</v>
      </c>
      <c r="D22" s="107">
        <f>Ref_table!D67</f>
        <v>20.25</v>
      </c>
      <c r="E22" s="107">
        <f>Ref_table!E67</f>
        <v>19</v>
      </c>
      <c r="F22" s="107">
        <f>Ref_table!F67</f>
        <v>42.5</v>
      </c>
      <c r="G22" s="107">
        <f>Ref_table!G67</f>
        <v>9</v>
      </c>
      <c r="H22" s="107">
        <f>Ref_table!H67</f>
        <v>26</v>
      </c>
      <c r="I22" s="137">
        <f>Ref_table!I67</f>
        <v>121.9</v>
      </c>
      <c r="J22" s="87">
        <f>Ref_table!J67</f>
        <v>0</v>
      </c>
      <c r="K22" s="172">
        <f>Ref_table!K67</f>
        <v>0</v>
      </c>
      <c r="L22" s="477">
        <f>Ref_table!L67</f>
        <v>0</v>
      </c>
      <c r="M22" s="157">
        <f>Ref_table!M67</f>
        <v>0</v>
      </c>
      <c r="N22" s="556">
        <f>Ref_table!N67</f>
        <v>0</v>
      </c>
      <c r="O22" s="406">
        <f>Ref_table!O67</f>
        <v>0</v>
      </c>
      <c r="P22" s="526">
        <f>Ref_table!P67</f>
        <v>0</v>
      </c>
      <c r="Q22" s="374">
        <f>Ref_table!Q67</f>
        <v>0</v>
      </c>
    </row>
    <row r="23" spans="1:17" ht="15">
      <c r="A23" s="78" t="str">
        <f>Ref_table!A68</f>
        <v>b461</v>
      </c>
      <c r="B23" s="19" t="str">
        <f>Ref_table!B68</f>
        <v>Leakages to water bodies / erosion, DOC</v>
      </c>
      <c r="C23" s="33">
        <f>Ref_table!C68</f>
        <v>4.15</v>
      </c>
      <c r="D23" s="33">
        <f>Ref_table!D68</f>
        <v>15.25</v>
      </c>
      <c r="E23" s="33">
        <f>Ref_table!E68</f>
        <v>17</v>
      </c>
      <c r="F23" s="33">
        <f>Ref_table!F68</f>
        <v>22.5</v>
      </c>
      <c r="G23" s="33">
        <f>Ref_table!G68</f>
        <v>5</v>
      </c>
      <c r="H23" s="33">
        <f>Ref_table!H68</f>
        <v>16</v>
      </c>
      <c r="I23" s="137">
        <f>Ref_table!I68</f>
        <v>79.9</v>
      </c>
      <c r="J23" s="16">
        <f>Ref_table!J68</f>
        <v>0</v>
      </c>
      <c r="K23" s="172">
        <f>Ref_table!K68</f>
        <v>79.9</v>
      </c>
      <c r="L23" s="476">
        <f>Ref_table!L68</f>
        <v>0</v>
      </c>
      <c r="M23" s="175">
        <f>Ref_table!M68</f>
        <v>0</v>
      </c>
      <c r="N23" s="555">
        <f>Ref_table!N68</f>
        <v>0</v>
      </c>
      <c r="O23" s="30">
        <f>Ref_table!O68</f>
        <v>0</v>
      </c>
      <c r="P23" s="526">
        <f>Ref_table!P68</f>
        <v>0</v>
      </c>
      <c r="Q23" s="99">
        <f>Ref_table!Q68</f>
        <v>0</v>
      </c>
    </row>
    <row r="24" spans="1:17" ht="15">
      <c r="A24" s="78" t="str">
        <f>Ref_table!A69</f>
        <v>b462</v>
      </c>
      <c r="B24" s="19" t="str">
        <f>Ref_table!B69</f>
        <v>Leakages to the atmosphere/ fires, VOC</v>
      </c>
      <c r="C24" s="33">
        <f>Ref_table!C69</f>
        <v>1</v>
      </c>
      <c r="D24" s="33">
        <f>Ref_table!D69</f>
        <v>5</v>
      </c>
      <c r="E24" s="33">
        <f>Ref_table!E69</f>
        <v>2</v>
      </c>
      <c r="F24" s="33">
        <f>Ref_table!F69</f>
        <v>20</v>
      </c>
      <c r="G24" s="33">
        <f>Ref_table!G69</f>
        <v>4</v>
      </c>
      <c r="H24" s="33">
        <f>Ref_table!H69</f>
        <v>10</v>
      </c>
      <c r="I24" s="137">
        <f>Ref_table!I69</f>
        <v>42</v>
      </c>
      <c r="J24" s="16">
        <f>Ref_table!J69</f>
        <v>0</v>
      </c>
      <c r="K24" s="172">
        <f>Ref_table!K69</f>
        <v>42</v>
      </c>
      <c r="L24" s="476">
        <f>Ref_table!L69</f>
        <v>0</v>
      </c>
      <c r="M24" s="175">
        <f>Ref_table!M69</f>
        <v>0</v>
      </c>
      <c r="N24" s="555">
        <f>Ref_table!N69</f>
        <v>0</v>
      </c>
      <c r="O24" s="30">
        <f>Ref_table!O69</f>
        <v>0</v>
      </c>
      <c r="P24" s="526">
        <f>Ref_table!P69</f>
        <v>-42</v>
      </c>
      <c r="Q24" s="99">
        <f>Ref_table!Q69</f>
        <v>0</v>
      </c>
    </row>
    <row r="25" spans="1:17" ht="15">
      <c r="A25" s="988" t="str">
        <f>Ref_table!A70</f>
        <v>b47</v>
      </c>
      <c r="B25" s="31" t="str">
        <f>Ref_table!B70</f>
        <v>NEP Surplus 10^6 tonnes of C [b45-b46] (NB: includes effects of LUC)</v>
      </c>
      <c r="C25" s="107">
        <f>Ref_table!C70</f>
        <v>77.85</v>
      </c>
      <c r="D25" s="107">
        <f>Ref_table!D70</f>
        <v>284.75</v>
      </c>
      <c r="E25" s="107">
        <f>Ref_table!E70</f>
        <v>321</v>
      </c>
      <c r="F25" s="107">
        <f>Ref_table!F70</f>
        <v>407.5</v>
      </c>
      <c r="G25" s="107">
        <f>Ref_table!G70</f>
        <v>91</v>
      </c>
      <c r="H25" s="107">
        <f>Ref_table!H70</f>
        <v>294</v>
      </c>
      <c r="I25" s="137">
        <f>Ref_table!I70</f>
        <v>1476.1</v>
      </c>
      <c r="J25" s="88">
        <f>Ref_table!J70</f>
        <v>0</v>
      </c>
      <c r="K25" s="172">
        <f>Ref_table!K70</f>
        <v>1476.1</v>
      </c>
      <c r="L25" s="107">
        <f>Ref_table!L70</f>
        <v>12</v>
      </c>
      <c r="M25" s="107">
        <f>Ref_table!M70</f>
        <v>8</v>
      </c>
      <c r="N25" s="557">
        <f>Ref_table!N70</f>
        <v>0</v>
      </c>
      <c r="O25" s="528">
        <f>Ref_table!O70</f>
        <v>0</v>
      </c>
      <c r="P25" s="538">
        <f>Ref_table!P70</f>
        <v>0</v>
      </c>
      <c r="Q25" s="374">
        <f>Ref_table!Q70</f>
        <v>0</v>
      </c>
    </row>
    <row r="26" spans="1:17" ht="15">
      <c r="A26" s="988" t="str">
        <f>Ref_table!A71</f>
        <v>b48</v>
      </c>
      <c r="B26" s="31" t="str">
        <f>Ref_table!B71</f>
        <v>Net removals</v>
      </c>
      <c r="C26" s="107">
        <f>Ref_table!C71</f>
        <v>68.5</v>
      </c>
      <c r="D26" s="107">
        <f>Ref_table!D71</f>
        <v>280</v>
      </c>
      <c r="E26" s="107">
        <f>Ref_table!E71</f>
        <v>266.8</v>
      </c>
      <c r="F26" s="107">
        <f>Ref_table!F71</f>
        <v>308.5</v>
      </c>
      <c r="G26" s="107">
        <f>Ref_table!G71</f>
        <v>84.6</v>
      </c>
      <c r="H26" s="107">
        <f>Ref_table!H71</f>
        <v>268</v>
      </c>
      <c r="I26" s="137">
        <f>Ref_table!I71</f>
        <v>1276.4</v>
      </c>
      <c r="J26" s="88">
        <f>Ref_table!J71</f>
        <v>0</v>
      </c>
      <c r="K26" s="172">
        <f>Ref_table!K71</f>
        <v>0</v>
      </c>
      <c r="L26" s="982">
        <f>Ref_table!L71</f>
        <v>0</v>
      </c>
      <c r="M26" s="982">
        <f>Ref_table!M71</f>
        <v>0</v>
      </c>
      <c r="N26" s="557">
        <f>Ref_table!N71</f>
        <v>0</v>
      </c>
      <c r="O26" s="528">
        <f>Ref_table!O71</f>
        <v>0</v>
      </c>
      <c r="P26" s="538">
        <f>Ref_table!P71</f>
        <v>0</v>
      </c>
      <c r="Q26" s="374">
        <f>Ref_table!Q71</f>
        <v>0</v>
      </c>
    </row>
    <row r="27" spans="1:17" ht="15">
      <c r="A27" s="78" t="str">
        <f>Ref_table!A72</f>
        <v>b481</v>
      </c>
      <c r="B27" s="92" t="str">
        <f>Ref_table!B72</f>
        <v>Net removal/crops</v>
      </c>
      <c r="C27" s="4">
        <f>Ref_table!C72</f>
        <v>39.5</v>
      </c>
      <c r="D27" s="4">
        <f>Ref_table!D72</f>
        <v>250</v>
      </c>
      <c r="E27" s="4">
        <f>Ref_table!E72</f>
        <v>155</v>
      </c>
      <c r="F27" s="4">
        <f>Ref_table!F72</f>
        <v>58.5</v>
      </c>
      <c r="G27" s="4">
        <f>Ref_table!G72</f>
        <v>17.6</v>
      </c>
      <c r="H27" s="4">
        <f>Ref_table!H72</f>
        <v>150</v>
      </c>
      <c r="I27" s="137">
        <f>Ref_table!I72</f>
        <v>670.6</v>
      </c>
      <c r="J27" s="14">
        <f>Ref_table!J72</f>
        <v>0</v>
      </c>
      <c r="K27" s="172">
        <f>Ref_table!K72</f>
        <v>670.6</v>
      </c>
      <c r="L27" s="476">
        <f>Ref_table!L72</f>
        <v>0</v>
      </c>
      <c r="M27" s="175">
        <f>Ref_table!M72</f>
        <v>0</v>
      </c>
      <c r="N27" s="555">
        <f>Ref_table!N72</f>
        <v>0</v>
      </c>
      <c r="O27" s="30">
        <f>Ref_table!O72</f>
        <v>0</v>
      </c>
      <c r="P27" s="537">
        <f>Ref_table!P72</f>
        <v>0</v>
      </c>
      <c r="Q27" s="99">
        <f>Ref_table!Q72</f>
        <v>0</v>
      </c>
    </row>
    <row r="28" spans="1:17" ht="15">
      <c r="A28" s="113" t="str">
        <f>Ref_table!A73</f>
        <v>b481a</v>
      </c>
      <c r="B28" s="60" t="str">
        <f>Ref_table!B73</f>
        <v>total harvest</v>
      </c>
      <c r="C28" s="4">
        <f>Ref_table!C73</f>
        <v>0</v>
      </c>
      <c r="D28" s="4">
        <f>Ref_table!D73</f>
        <v>0</v>
      </c>
      <c r="E28" s="4">
        <f>Ref_table!E73</f>
        <v>0</v>
      </c>
      <c r="F28" s="4">
        <f>Ref_table!F73</f>
        <v>0</v>
      </c>
      <c r="G28" s="4">
        <f>Ref_table!G73</f>
        <v>0</v>
      </c>
      <c r="H28" s="4">
        <f>Ref_table!H73</f>
        <v>0</v>
      </c>
      <c r="I28" s="137">
        <f>Ref_table!I73</f>
        <v>0</v>
      </c>
      <c r="J28" s="14">
        <f>Ref_table!J73</f>
        <v>0</v>
      </c>
      <c r="K28" s="172">
        <f>Ref_table!K73</f>
        <v>0</v>
      </c>
      <c r="L28" s="476">
        <f>Ref_table!L73</f>
        <v>0</v>
      </c>
      <c r="M28" s="175">
        <f>Ref_table!M73</f>
        <v>0</v>
      </c>
      <c r="N28" s="555">
        <f>Ref_table!N73</f>
        <v>0</v>
      </c>
      <c r="O28" s="30">
        <f>Ref_table!O73</f>
        <v>0</v>
      </c>
      <c r="P28" s="537">
        <f>Ref_table!P73</f>
        <v>0</v>
      </c>
      <c r="Q28" s="99">
        <f>Ref_table!Q73</f>
        <v>0</v>
      </c>
    </row>
    <row r="29" spans="1:17" ht="15">
      <c r="A29" s="113" t="str">
        <f>Ref_table!A74</f>
        <v>b481b</v>
      </c>
      <c r="B29" s="60" t="str">
        <f>Ref_table!B74</f>
        <v>leftovers, returns</v>
      </c>
      <c r="C29" s="4">
        <f>Ref_table!C74</f>
        <v>0</v>
      </c>
      <c r="D29" s="4">
        <f>Ref_table!D74</f>
        <v>0</v>
      </c>
      <c r="E29" s="4">
        <f>Ref_table!E74</f>
        <v>0</v>
      </c>
      <c r="F29" s="4">
        <f>Ref_table!F74</f>
        <v>0</v>
      </c>
      <c r="G29" s="4">
        <f>Ref_table!G74</f>
        <v>0</v>
      </c>
      <c r="H29" s="4">
        <f>Ref_table!H74</f>
        <v>0</v>
      </c>
      <c r="I29" s="137">
        <f>Ref_table!I74</f>
        <v>0</v>
      </c>
      <c r="J29" s="14">
        <f>Ref_table!J74</f>
        <v>0</v>
      </c>
      <c r="K29" s="172">
        <f>Ref_table!K74</f>
        <v>0</v>
      </c>
      <c r="L29" s="476">
        <f>Ref_table!L74</f>
        <v>0</v>
      </c>
      <c r="M29" s="175">
        <f>Ref_table!M74</f>
        <v>0</v>
      </c>
      <c r="N29" s="555">
        <f>Ref_table!N74</f>
        <v>0</v>
      </c>
      <c r="O29" s="30">
        <f>Ref_table!O74</f>
        <v>0</v>
      </c>
      <c r="P29" s="537">
        <f>Ref_table!P74</f>
        <v>0</v>
      </c>
      <c r="Q29" s="99">
        <f>Ref_table!Q74</f>
        <v>0</v>
      </c>
    </row>
    <row r="30" spans="1:17" ht="15">
      <c r="A30" s="78" t="str">
        <f>Ref_table!A75</f>
        <v>b482</v>
      </c>
      <c r="B30" s="92" t="str">
        <f>Ref_table!B75</f>
        <v>Net removal/grazing</v>
      </c>
      <c r="C30" s="33">
        <f>Ref_table!C75</f>
        <v>10</v>
      </c>
      <c r="D30" s="33">
        <f>Ref_table!D75</f>
        <v>20</v>
      </c>
      <c r="E30" s="33">
        <f>Ref_table!E75</f>
        <v>99.8</v>
      </c>
      <c r="F30" s="4">
        <f>Ref_table!F75</f>
        <v>50</v>
      </c>
      <c r="G30" s="33">
        <f>Ref_table!G75</f>
        <v>50</v>
      </c>
      <c r="H30" s="33">
        <f>Ref_table!H75</f>
        <v>78</v>
      </c>
      <c r="I30" s="137">
        <f>Ref_table!I75</f>
        <v>307.8</v>
      </c>
      <c r="J30" s="16">
        <f>Ref_table!J75</f>
        <v>0</v>
      </c>
      <c r="K30" s="172">
        <f>Ref_table!K75</f>
        <v>307.8</v>
      </c>
      <c r="L30" s="476">
        <f>Ref_table!L75</f>
        <v>0</v>
      </c>
      <c r="M30" s="175">
        <f>Ref_table!M75</f>
        <v>0</v>
      </c>
      <c r="N30" s="555">
        <f>Ref_table!N75</f>
        <v>0</v>
      </c>
      <c r="O30" s="30">
        <f>Ref_table!O75</f>
        <v>0</v>
      </c>
      <c r="P30" s="537">
        <f>Ref_table!P75</f>
        <v>0</v>
      </c>
      <c r="Q30" s="99">
        <f>Ref_table!Q75</f>
        <v>0</v>
      </c>
    </row>
    <row r="31" spans="1:17" ht="15">
      <c r="A31" s="113" t="str">
        <f>Ref_table!A76</f>
        <v>b482a</v>
      </c>
      <c r="B31" s="60" t="str">
        <f>Ref_table!B76</f>
        <v>total grazing</v>
      </c>
      <c r="C31" s="4">
        <f>Ref_table!C76</f>
        <v>0</v>
      </c>
      <c r="D31" s="4">
        <f>Ref_table!D76</f>
        <v>0</v>
      </c>
      <c r="E31" s="4">
        <f>Ref_table!E76</f>
        <v>0</v>
      </c>
      <c r="F31" s="4">
        <f>Ref_table!F76</f>
        <v>0</v>
      </c>
      <c r="G31" s="4">
        <f>Ref_table!G76</f>
        <v>0</v>
      </c>
      <c r="H31" s="4">
        <f>Ref_table!H76</f>
        <v>0</v>
      </c>
      <c r="I31" s="137">
        <f>Ref_table!I76</f>
        <v>0</v>
      </c>
      <c r="J31" s="14">
        <f>Ref_table!J76</f>
        <v>0</v>
      </c>
      <c r="K31" s="172">
        <f>Ref_table!K76</f>
        <v>0</v>
      </c>
      <c r="L31" s="476">
        <f>Ref_table!L76</f>
        <v>0</v>
      </c>
      <c r="M31" s="175">
        <f>Ref_table!M76</f>
        <v>0</v>
      </c>
      <c r="N31" s="555">
        <f>Ref_table!N76</f>
        <v>0</v>
      </c>
      <c r="O31" s="30">
        <f>Ref_table!O76</f>
        <v>0</v>
      </c>
      <c r="P31" s="537">
        <f>Ref_table!P76</f>
        <v>0</v>
      </c>
      <c r="Q31" s="99">
        <f>Ref_table!Q76</f>
        <v>0</v>
      </c>
    </row>
    <row r="32" spans="1:17" ht="15">
      <c r="A32" s="113" t="str">
        <f>Ref_table!A77</f>
        <v>b482b</v>
      </c>
      <c r="B32" s="60" t="str">
        <f>Ref_table!B77</f>
        <v>animal return to pasturres</v>
      </c>
      <c r="C32" s="4">
        <f>Ref_table!C77</f>
        <v>0</v>
      </c>
      <c r="D32" s="4">
        <f>Ref_table!D77</f>
        <v>0</v>
      </c>
      <c r="E32" s="4">
        <f>Ref_table!E77</f>
        <v>0</v>
      </c>
      <c r="F32" s="4">
        <f>Ref_table!F77</f>
        <v>0</v>
      </c>
      <c r="G32" s="4">
        <f>Ref_table!G77</f>
        <v>0</v>
      </c>
      <c r="H32" s="4">
        <f>Ref_table!H77</f>
        <v>0</v>
      </c>
      <c r="I32" s="137">
        <f>Ref_table!I77</f>
        <v>0</v>
      </c>
      <c r="J32" s="14">
        <f>Ref_table!J77</f>
        <v>0</v>
      </c>
      <c r="K32" s="172">
        <f>Ref_table!K77</f>
        <v>0</v>
      </c>
      <c r="L32" s="476">
        <f>Ref_table!L77</f>
        <v>0</v>
      </c>
      <c r="M32" s="175">
        <f>Ref_table!M77</f>
        <v>0</v>
      </c>
      <c r="N32" s="555">
        <f>Ref_table!N77</f>
        <v>0</v>
      </c>
      <c r="O32" s="30">
        <f>Ref_table!O77</f>
        <v>0</v>
      </c>
      <c r="P32" s="537">
        <f>Ref_table!P77</f>
        <v>0</v>
      </c>
      <c r="Q32" s="99">
        <f>Ref_table!Q77</f>
        <v>0</v>
      </c>
    </row>
    <row r="33" spans="1:17" ht="15">
      <c r="A33" s="78" t="str">
        <f>Ref_table!A78</f>
        <v>b483</v>
      </c>
      <c r="B33" s="92" t="str">
        <f>Ref_table!B78</f>
        <v>Net removal/timber</v>
      </c>
      <c r="C33" s="33">
        <f>Ref_table!C78</f>
        <v>20</v>
      </c>
      <c r="D33" s="33">
        <f>Ref_table!D78</f>
        <v>20</v>
      </c>
      <c r="E33" s="33">
        <f>Ref_table!E78</f>
        <v>50</v>
      </c>
      <c r="F33" s="33">
        <f>Ref_table!F78</f>
        <v>200</v>
      </c>
      <c r="G33" s="33">
        <f>Ref_table!G78</f>
        <v>20</v>
      </c>
      <c r="H33" s="33">
        <f>Ref_table!H78</f>
        <v>50</v>
      </c>
      <c r="I33" s="137">
        <f>Ref_table!I78</f>
        <v>360</v>
      </c>
      <c r="J33" s="16">
        <f>Ref_table!J78</f>
        <v>0</v>
      </c>
      <c r="K33" s="172">
        <f>Ref_table!K78</f>
        <v>360</v>
      </c>
      <c r="L33" s="350">
        <f>Ref_table!L78</f>
        <v>0</v>
      </c>
      <c r="M33" s="92">
        <f>Ref_table!M78</f>
        <v>0</v>
      </c>
      <c r="N33" s="139">
        <f>Ref_table!N78</f>
        <v>0</v>
      </c>
      <c r="O33" s="30">
        <f>Ref_table!O78</f>
        <v>0</v>
      </c>
      <c r="P33" s="537">
        <f>Ref_table!P78</f>
        <v>0</v>
      </c>
      <c r="Q33" s="99">
        <f>Ref_table!Q78</f>
        <v>0</v>
      </c>
    </row>
    <row r="34" spans="1:17" ht="15">
      <c r="A34" s="113" t="str">
        <f>Ref_table!A79</f>
        <v>b483a</v>
      </c>
      <c r="B34" s="60" t="str">
        <f>Ref_table!B79</f>
        <v>total harvest</v>
      </c>
      <c r="C34" s="4">
        <f>Ref_table!C79</f>
        <v>0</v>
      </c>
      <c r="D34" s="4">
        <f>Ref_table!D79</f>
        <v>0</v>
      </c>
      <c r="E34" s="4">
        <f>Ref_table!E79</f>
        <v>0</v>
      </c>
      <c r="F34" s="4">
        <f>Ref_table!F79</f>
        <v>0</v>
      </c>
      <c r="G34" s="4">
        <f>Ref_table!G79</f>
        <v>0</v>
      </c>
      <c r="H34" s="4">
        <f>Ref_table!H79</f>
        <v>0</v>
      </c>
      <c r="I34" s="137">
        <f>Ref_table!I79</f>
        <v>0</v>
      </c>
      <c r="J34" s="14">
        <f>Ref_table!J79</f>
        <v>0</v>
      </c>
      <c r="K34" s="172">
        <f>Ref_table!K79</f>
        <v>0</v>
      </c>
      <c r="L34" s="476">
        <f>Ref_table!L79</f>
        <v>0</v>
      </c>
      <c r="M34" s="175">
        <f>Ref_table!M79</f>
        <v>0</v>
      </c>
      <c r="N34" s="555">
        <f>Ref_table!N79</f>
        <v>0</v>
      </c>
      <c r="O34" s="30">
        <f>Ref_table!O79</f>
        <v>0</v>
      </c>
      <c r="P34" s="537">
        <f>Ref_table!P79</f>
        <v>0</v>
      </c>
      <c r="Q34" s="99">
        <f>Ref_table!Q79</f>
        <v>0</v>
      </c>
    </row>
    <row r="35" spans="1:17" ht="15">
      <c r="A35" s="113" t="str">
        <f>Ref_table!A80</f>
        <v>b483b</v>
      </c>
      <c r="B35" s="60" t="str">
        <f>Ref_table!B80</f>
        <v>leftovers, returns</v>
      </c>
      <c r="C35" s="4">
        <f>Ref_table!C80</f>
        <v>0</v>
      </c>
      <c r="D35" s="4">
        <f>Ref_table!D80</f>
        <v>0</v>
      </c>
      <c r="E35" s="4">
        <f>Ref_table!E80</f>
        <v>0</v>
      </c>
      <c r="F35" s="4">
        <f>Ref_table!F80</f>
        <v>0</v>
      </c>
      <c r="G35" s="4">
        <f>Ref_table!G80</f>
        <v>0</v>
      </c>
      <c r="H35" s="4">
        <f>Ref_table!H80</f>
        <v>0</v>
      </c>
      <c r="I35" s="137">
        <f>Ref_table!I80</f>
        <v>0</v>
      </c>
      <c r="J35" s="14">
        <f>Ref_table!J80</f>
        <v>0</v>
      </c>
      <c r="K35" s="172">
        <f>Ref_table!K80</f>
        <v>0</v>
      </c>
      <c r="L35" s="476">
        <f>Ref_table!L80</f>
        <v>0</v>
      </c>
      <c r="M35" s="175">
        <f>Ref_table!M80</f>
        <v>0</v>
      </c>
      <c r="N35" s="555">
        <f>Ref_table!N80</f>
        <v>0</v>
      </c>
      <c r="O35" s="30">
        <f>Ref_table!O80</f>
        <v>0</v>
      </c>
      <c r="P35" s="537">
        <f>Ref_table!P80</f>
        <v>0</v>
      </c>
      <c r="Q35" s="99">
        <f>Ref_table!Q80</f>
        <v>0</v>
      </c>
    </row>
    <row r="36" spans="1:17" ht="15">
      <c r="A36" s="78" t="str">
        <f>Ref_table!A81</f>
        <v>b484</v>
      </c>
      <c r="B36" s="92" t="str">
        <f>Ref_table!B81</f>
        <v>Net removal/fish</v>
      </c>
      <c r="C36" s="33">
        <f>Ref_table!C81</f>
        <v>0</v>
      </c>
      <c r="D36" s="33">
        <f>Ref_table!D81</f>
        <v>0</v>
      </c>
      <c r="E36" s="33">
        <f>Ref_table!E81</f>
        <v>2</v>
      </c>
      <c r="F36" s="33">
        <f>Ref_table!F81</f>
        <v>0</v>
      </c>
      <c r="G36" s="33">
        <f>Ref_table!G81</f>
        <v>2</v>
      </c>
      <c r="H36" s="33">
        <f>Ref_table!H81</f>
        <v>0</v>
      </c>
      <c r="I36" s="137">
        <f>Ref_table!I81</f>
        <v>4</v>
      </c>
      <c r="J36" s="16">
        <f>Ref_table!J81</f>
        <v>0</v>
      </c>
      <c r="K36" s="172">
        <f>Ref_table!K81</f>
        <v>4</v>
      </c>
      <c r="L36" s="723">
        <f>Ref_table!L81</f>
        <v>15.156000000000002</v>
      </c>
      <c r="M36" s="92">
        <f>Ref_table!M81</f>
        <v>10</v>
      </c>
      <c r="N36" s="139">
        <f>Ref_table!N81</f>
        <v>0</v>
      </c>
      <c r="O36" s="30">
        <f>Ref_table!O81</f>
        <v>0</v>
      </c>
      <c r="P36" s="537">
        <f>Ref_table!P81</f>
        <v>0</v>
      </c>
      <c r="Q36" s="99">
        <f>Ref_table!Q81</f>
        <v>0</v>
      </c>
    </row>
    <row r="37" spans="1:17" ht="15">
      <c r="A37" s="113" t="str">
        <f>Ref_table!A82</f>
        <v>b4834a</v>
      </c>
      <c r="B37" s="60" t="str">
        <f>Ref_table!B82</f>
        <v>total catches</v>
      </c>
      <c r="C37" s="4">
        <f>Ref_table!C82</f>
        <v>0</v>
      </c>
      <c r="D37" s="4">
        <f>Ref_table!D82</f>
        <v>0</v>
      </c>
      <c r="E37" s="4">
        <f>Ref_table!E82</f>
        <v>0</v>
      </c>
      <c r="F37" s="4">
        <f>Ref_table!F82</f>
        <v>0</v>
      </c>
      <c r="G37" s="4">
        <f>Ref_table!G82</f>
        <v>0</v>
      </c>
      <c r="H37" s="4">
        <f>Ref_table!H82</f>
        <v>0</v>
      </c>
      <c r="I37" s="137">
        <f>Ref_table!I82</f>
        <v>0</v>
      </c>
      <c r="J37" s="14">
        <f>Ref_table!J82</f>
        <v>0</v>
      </c>
      <c r="K37" s="172">
        <f>Ref_table!K82</f>
        <v>0</v>
      </c>
      <c r="L37" s="476">
        <f>Ref_table!L82</f>
        <v>0</v>
      </c>
      <c r="M37" s="175">
        <f>Ref_table!M82</f>
        <v>0</v>
      </c>
      <c r="N37" s="555">
        <f>Ref_table!N82</f>
        <v>0</v>
      </c>
      <c r="O37" s="30">
        <f>Ref_table!O82</f>
        <v>0</v>
      </c>
      <c r="P37" s="537">
        <f>Ref_table!P82</f>
        <v>0</v>
      </c>
      <c r="Q37" s="99">
        <f>Ref_table!Q82</f>
        <v>0</v>
      </c>
    </row>
    <row r="38" spans="1:17" ht="15">
      <c r="A38" s="113" t="str">
        <f>Ref_table!A83</f>
        <v>b484b</v>
      </c>
      <c r="B38" s="60" t="str">
        <f>Ref_table!B83</f>
        <v>leftovers, returns</v>
      </c>
      <c r="C38" s="4">
        <f>Ref_table!C83</f>
        <v>0</v>
      </c>
      <c r="D38" s="4">
        <f>Ref_table!D83</f>
        <v>0</v>
      </c>
      <c r="E38" s="4">
        <f>Ref_table!E83</f>
        <v>0</v>
      </c>
      <c r="F38" s="4">
        <f>Ref_table!F83</f>
        <v>0</v>
      </c>
      <c r="G38" s="4">
        <f>Ref_table!G83</f>
        <v>0</v>
      </c>
      <c r="H38" s="4">
        <f>Ref_table!H83</f>
        <v>0</v>
      </c>
      <c r="I38" s="137">
        <f>Ref_table!I83</f>
        <v>0</v>
      </c>
      <c r="J38" s="14">
        <f>Ref_table!J83</f>
        <v>0</v>
      </c>
      <c r="K38" s="172">
        <f>Ref_table!K83</f>
        <v>0</v>
      </c>
      <c r="L38" s="476">
        <f>Ref_table!L83</f>
        <v>0</v>
      </c>
      <c r="M38" s="175">
        <f>Ref_table!M83</f>
        <v>0</v>
      </c>
      <c r="N38" s="555">
        <f>Ref_table!N83</f>
        <v>0</v>
      </c>
      <c r="O38" s="30">
        <f>Ref_table!O83</f>
        <v>0</v>
      </c>
      <c r="P38" s="537">
        <f>Ref_table!P83</f>
        <v>0</v>
      </c>
      <c r="Q38" s="99">
        <f>Ref_table!Q83</f>
        <v>0</v>
      </c>
    </row>
    <row r="39" spans="1:17" ht="15">
      <c r="A39" s="78" t="str">
        <f>Ref_table!A84</f>
        <v>b485</v>
      </c>
      <c r="B39" s="92" t="str">
        <f>Ref_table!B84</f>
        <v>Removal/extraction of soil, peat</v>
      </c>
      <c r="C39" s="33">
        <f>Ref_table!C84</f>
        <v>0</v>
      </c>
      <c r="D39" s="33">
        <f>Ref_table!D84</f>
        <v>0</v>
      </c>
      <c r="E39" s="33">
        <f>Ref_table!E84</f>
        <v>0</v>
      </c>
      <c r="F39" s="33">
        <f>Ref_table!F84</f>
        <v>0</v>
      </c>
      <c r="G39" s="33">
        <f>Ref_table!G84</f>
        <v>0</v>
      </c>
      <c r="H39" s="33">
        <f>Ref_table!H84</f>
        <v>0</v>
      </c>
      <c r="I39" s="137">
        <f>Ref_table!I84</f>
        <v>0</v>
      </c>
      <c r="J39" s="16">
        <f>Ref_table!J84</f>
        <v>0</v>
      </c>
      <c r="K39" s="172">
        <f>Ref_table!K84</f>
        <v>0</v>
      </c>
      <c r="L39" s="723">
        <f>Ref_table!L84</f>
        <v>0</v>
      </c>
      <c r="M39" s="118">
        <f>Ref_table!M84</f>
        <v>0</v>
      </c>
      <c r="N39" s="547">
        <f>Ref_table!N84</f>
        <v>0</v>
      </c>
      <c r="O39" s="30">
        <f>Ref_table!O84</f>
        <v>0</v>
      </c>
      <c r="P39" s="537">
        <f>Ref_table!P84</f>
        <v>0</v>
      </c>
      <c r="Q39" s="99">
        <f>Ref_table!Q84</f>
        <v>0</v>
      </c>
    </row>
    <row r="40" spans="1:17" ht="15">
      <c r="A40" s="78" t="str">
        <f>Ref_table!A85</f>
        <v>b486</v>
      </c>
      <c r="B40" s="19" t="str">
        <f>Ref_table!B85</f>
        <v>Organic fertilisation</v>
      </c>
      <c r="C40" s="33">
        <f>Ref_table!C85</f>
        <v>1</v>
      </c>
      <c r="D40" s="33">
        <f>Ref_table!D85</f>
        <v>10</v>
      </c>
      <c r="E40" s="33">
        <f>Ref_table!E85</f>
        <v>40</v>
      </c>
      <c r="F40" s="33">
        <f>Ref_table!F85</f>
        <v>0</v>
      </c>
      <c r="G40" s="33">
        <f>Ref_table!G85</f>
        <v>5</v>
      </c>
      <c r="H40" s="33">
        <f>Ref_table!H85</f>
        <v>10</v>
      </c>
      <c r="I40" s="137">
        <f>Ref_table!I85</f>
        <v>66</v>
      </c>
      <c r="J40" s="16">
        <f>Ref_table!J85</f>
        <v>0</v>
      </c>
      <c r="K40" s="172">
        <f>Ref_table!K85</f>
        <v>66</v>
      </c>
      <c r="L40" s="476">
        <f>Ref_table!L85</f>
        <v>0</v>
      </c>
      <c r="M40" s="175">
        <f>Ref_table!M85</f>
        <v>0</v>
      </c>
      <c r="N40" s="555">
        <f>Ref_table!N85</f>
        <v>0</v>
      </c>
      <c r="O40" s="30">
        <f>Ref_table!O85</f>
        <v>0</v>
      </c>
      <c r="P40" s="537">
        <f>Ref_table!P85</f>
        <v>0</v>
      </c>
      <c r="Q40" s="99">
        <f>Ref_table!Q85</f>
        <v>0</v>
      </c>
    </row>
    <row r="41" spans="1:17" ht="15">
      <c r="A41" s="988" t="str">
        <f>Ref_table!A86</f>
        <v>b49</v>
      </c>
      <c r="B41" s="31" t="str">
        <f>Ref_table!B86</f>
        <v>mean NECB (~1995-~2005), 10^6 tonnes of C, [b47-b481-b482-b483-b484-b485+b486]</v>
      </c>
      <c r="C41" s="107">
        <f>Ref_table!C86</f>
        <v>9.349999999999994</v>
      </c>
      <c r="D41" s="107">
        <f>Ref_table!D86</f>
        <v>4.75</v>
      </c>
      <c r="E41" s="107">
        <f>Ref_table!E86</f>
        <v>56.19999999999999</v>
      </c>
      <c r="F41" s="107">
        <f>Ref_table!F86</f>
        <v>99</v>
      </c>
      <c r="G41" s="107">
        <f>Ref_table!G86</f>
        <v>8.400000000000006</v>
      </c>
      <c r="H41" s="107">
        <f>Ref_table!H86</f>
        <v>26</v>
      </c>
      <c r="I41" s="137">
        <f>Ref_table!I86</f>
        <v>203.69999999999982</v>
      </c>
      <c r="J41" s="88">
        <f>Ref_table!J86</f>
        <v>0</v>
      </c>
      <c r="K41" s="172">
        <f>Ref_table!K86</f>
        <v>203.69999999999982</v>
      </c>
      <c r="L41" s="107">
        <f>Ref_table!L86</f>
        <v>-3.1560000000000024</v>
      </c>
      <c r="M41" s="981">
        <f>Ref_table!M86</f>
        <v>-2</v>
      </c>
      <c r="N41" s="557">
        <f>Ref_table!N86</f>
        <v>0</v>
      </c>
      <c r="O41" s="528">
        <f>Ref_table!O86</f>
        <v>0</v>
      </c>
      <c r="P41" s="538">
        <f>Ref_table!P86</f>
        <v>0</v>
      </c>
      <c r="Q41" s="374">
        <f>Ref_table!Q86</f>
        <v>0</v>
      </c>
    </row>
    <row r="42" spans="1:17" ht="15">
      <c r="A42" s="113" t="str">
        <f>Ref_table!A87</f>
        <v>b491</v>
      </c>
      <c r="B42" s="102" t="str">
        <f>Ref_table!B87</f>
        <v>mean NECB (~1995-~2005), 10^6 tonnes of C_soil</v>
      </c>
      <c r="C42" s="61">
        <f>Ref_table!C87</f>
        <v>-3.714938238000002</v>
      </c>
      <c r="D42" s="61">
        <f>Ref_table!D87</f>
        <v>-16.557435540000007</v>
      </c>
      <c r="E42" s="61">
        <f>Ref_table!E87</f>
        <v>-7.845291115000009</v>
      </c>
      <c r="F42" s="61">
        <f>Ref_table!F87</f>
        <v>0</v>
      </c>
      <c r="G42" s="61">
        <f>Ref_table!G87</f>
        <v>0</v>
      </c>
      <c r="H42" s="61">
        <f>Ref_table!H87</f>
        <v>-67.94496</v>
      </c>
      <c r="I42" s="249">
        <f>Ref_table!I87</f>
        <v>-96.06262489300002</v>
      </c>
      <c r="J42" s="59">
        <f>Ref_table!J87</f>
        <v>0</v>
      </c>
      <c r="K42" s="172">
        <f>Ref_table!K87</f>
        <v>-96.06262489300002</v>
      </c>
      <c r="L42" s="478">
        <f>Ref_table!L87</f>
        <v>0</v>
      </c>
      <c r="M42" s="176">
        <f>Ref_table!M87</f>
        <v>0</v>
      </c>
      <c r="N42" s="558">
        <f>Ref_table!N87</f>
        <v>0</v>
      </c>
      <c r="O42" s="529">
        <f>Ref_table!O87</f>
        <v>0</v>
      </c>
      <c r="P42" s="539">
        <f>Ref_table!P87</f>
        <v>0</v>
      </c>
      <c r="Q42" s="368">
        <f>Ref_table!Q87</f>
        <v>0</v>
      </c>
    </row>
    <row r="43" spans="1:17" ht="15.75" thickBot="1">
      <c r="A43" s="177" t="str">
        <f>Ref_table!A88</f>
        <v>b492</v>
      </c>
      <c r="B43" s="178" t="str">
        <f>Ref_table!B88</f>
        <v>mean NECB (~1995-~2005), 10^6 tonnes of C_trees &amp; shrubs</v>
      </c>
      <c r="C43" s="179">
        <f>Ref_table!C88</f>
        <v>13.064938237999991</v>
      </c>
      <c r="D43" s="179">
        <f>Ref_table!D88</f>
        <v>21.307435539999982</v>
      </c>
      <c r="E43" s="179">
        <f>Ref_table!E88</f>
        <v>64.04529111500001</v>
      </c>
      <c r="F43" s="179">
        <f>Ref_table!F88</f>
        <v>99</v>
      </c>
      <c r="G43" s="179">
        <f>Ref_table!G88</f>
        <v>8.4</v>
      </c>
      <c r="H43" s="179">
        <f>Ref_table!H88</f>
        <v>93.94496</v>
      </c>
      <c r="I43" s="252">
        <f>Ref_table!I88</f>
        <v>299.762624893</v>
      </c>
      <c r="J43" s="68">
        <f>Ref_table!J88</f>
        <v>0</v>
      </c>
      <c r="K43" s="182">
        <f>Ref_table!K88</f>
        <v>299.762624893</v>
      </c>
      <c r="L43" s="479">
        <f>Ref_table!L88</f>
        <v>0</v>
      </c>
      <c r="M43" s="480">
        <f>Ref_table!M88</f>
        <v>0</v>
      </c>
      <c r="N43" s="559">
        <f>Ref_table!N88</f>
        <v>0</v>
      </c>
      <c r="O43" s="530">
        <f>Ref_table!O88</f>
        <v>0</v>
      </c>
      <c r="P43" s="540">
        <f>Ref_table!P88</f>
        <v>0</v>
      </c>
      <c r="Q43" s="369">
        <f>Ref_table!Q88</f>
        <v>0</v>
      </c>
    </row>
    <row r="44" spans="1:17" ht="15.75">
      <c r="A44" s="1062" t="str">
        <f>Ref_table!A89</f>
        <v>Net Ecosystem Accessible Carbon Surplus</v>
      </c>
      <c r="B44" s="1063">
        <f>Ref_table!B89</f>
        <v>0</v>
      </c>
      <c r="C44" s="1063">
        <f>Ref_table!C89</f>
        <v>0</v>
      </c>
      <c r="D44" s="1063">
        <f>Ref_table!D89</f>
        <v>0</v>
      </c>
      <c r="E44" s="1063">
        <f>Ref_table!E89</f>
        <v>0</v>
      </c>
      <c r="F44" s="1063">
        <f>Ref_table!F89</f>
        <v>0</v>
      </c>
      <c r="G44" s="1063">
        <f>Ref_table!G89</f>
        <v>0</v>
      </c>
      <c r="H44" s="1063">
        <f>Ref_table!H89</f>
        <v>0</v>
      </c>
      <c r="I44" s="1063">
        <f>Ref_table!I89</f>
        <v>0</v>
      </c>
      <c r="J44" s="1063">
        <f>Ref_table!J89</f>
        <v>0</v>
      </c>
      <c r="K44" s="1064">
        <f>Ref_table!K89</f>
        <v>0</v>
      </c>
      <c r="L44" s="183">
        <f>Ref_table!L89</f>
        <v>0</v>
      </c>
      <c r="M44" s="183">
        <f>Ref_table!M89</f>
        <v>0</v>
      </c>
      <c r="N44" s="552">
        <f>Ref_table!N89</f>
        <v>0</v>
      </c>
      <c r="O44" s="184">
        <f>Ref_table!O89</f>
        <v>0</v>
      </c>
      <c r="P44" s="670">
        <f>Ref_table!P89</f>
        <v>0</v>
      </c>
      <c r="Q44" s="387">
        <f>Ref_table!Q89</f>
        <v>0</v>
      </c>
    </row>
    <row r="45" spans="1:17" ht="15">
      <c r="A45" s="71" t="str">
        <f>Ref_table!A90</f>
        <v>B5</v>
      </c>
      <c r="B45" s="108" t="str">
        <f>Ref_table!B90</f>
        <v>Carbon stress coefficient t1 (~1995) ([b81+b82)/100)</v>
      </c>
      <c r="C45" s="2">
        <f>Ref_table!C90</f>
        <v>0.15</v>
      </c>
      <c r="D45" s="2">
        <f>Ref_table!D90</f>
        <v>0.12</v>
      </c>
      <c r="E45" s="2">
        <f>Ref_table!E90</f>
        <v>0.15</v>
      </c>
      <c r="F45" s="2">
        <f>Ref_table!F90</f>
        <v>0.14</v>
      </c>
      <c r="G45" s="2">
        <f>Ref_table!G90</f>
        <v>0.09</v>
      </c>
      <c r="H45" s="2">
        <f>Ref_table!H90</f>
        <v>0.15</v>
      </c>
      <c r="I45" s="132">
        <f>Ref_table!I90</f>
        <v>0</v>
      </c>
      <c r="J45" s="14">
        <f>Ref_table!J90</f>
        <v>0</v>
      </c>
      <c r="K45" s="172">
        <f>Ref_table!K90</f>
        <v>0</v>
      </c>
      <c r="L45" s="300">
        <f>Ref_table!L90</f>
        <v>0.7</v>
      </c>
      <c r="M45" s="171">
        <f>Ref_table!M90</f>
        <v>0</v>
      </c>
      <c r="N45" s="553">
        <f>Ref_table!N90</f>
        <v>0</v>
      </c>
      <c r="O45" s="24">
        <f>Ref_table!O90</f>
        <v>0</v>
      </c>
      <c r="P45" s="527">
        <f>Ref_table!P90</f>
        <v>0</v>
      </c>
      <c r="Q45" s="99">
        <f>Ref_table!Q90</f>
        <v>0</v>
      </c>
    </row>
    <row r="46" spans="1:17" ht="15">
      <c r="A46" s="78" t="str">
        <f>Ref_table!A91</f>
        <v>b51</v>
      </c>
      <c r="B46" s="102" t="str">
        <f>Ref_table!B91</f>
        <v>A = Total area% WHERE NECB_Soil &lt; or = 0</v>
      </c>
      <c r="C46" s="19">
        <f>Ref_table!C91</f>
        <v>10</v>
      </c>
      <c r="D46" s="19">
        <f>Ref_table!D91</f>
        <v>10</v>
      </c>
      <c r="E46" s="19">
        <f>Ref_table!E91</f>
        <v>10</v>
      </c>
      <c r="F46" s="19">
        <f>Ref_table!F91</f>
        <v>4</v>
      </c>
      <c r="G46" s="19">
        <f>Ref_table!G91</f>
        <v>3</v>
      </c>
      <c r="H46" s="19">
        <f>Ref_table!H91</f>
        <v>10</v>
      </c>
      <c r="I46" s="132">
        <f>Ref_table!I91</f>
        <v>0</v>
      </c>
      <c r="J46" s="13">
        <f>Ref_table!J91</f>
        <v>0</v>
      </c>
      <c r="K46" s="172">
        <f>Ref_table!K91</f>
        <v>0</v>
      </c>
      <c r="L46" s="175">
        <f>Ref_table!L91</f>
        <v>0</v>
      </c>
      <c r="M46" s="175">
        <f>Ref_table!M91</f>
        <v>0</v>
      </c>
      <c r="N46" s="555">
        <f>Ref_table!N91</f>
        <v>0</v>
      </c>
      <c r="O46" s="30">
        <f>Ref_table!O91</f>
        <v>0</v>
      </c>
      <c r="P46" s="537">
        <f>Ref_table!P91</f>
        <v>0</v>
      </c>
      <c r="Q46" s="367">
        <f>Ref_table!Q91</f>
        <v>0</v>
      </c>
    </row>
    <row r="47" spans="1:17" ht="15">
      <c r="A47" s="78" t="str">
        <f>Ref_table!A92</f>
        <v>b52</v>
      </c>
      <c r="B47" s="109" t="str">
        <f>Ref_table!B92</f>
        <v> B =  area% of SELU WHERE NECB_Trees &amp; shrubs &lt; NEP surplus</v>
      </c>
      <c r="C47" s="19">
        <f>Ref_table!C92</f>
        <v>5</v>
      </c>
      <c r="D47" s="19">
        <f>Ref_table!D92</f>
        <v>2</v>
      </c>
      <c r="E47" s="19">
        <f>Ref_table!E92</f>
        <v>5</v>
      </c>
      <c r="F47" s="19">
        <f>Ref_table!F92</f>
        <v>10</v>
      </c>
      <c r="G47" s="19">
        <f>Ref_table!G92</f>
        <v>6</v>
      </c>
      <c r="H47" s="19">
        <f>Ref_table!H92</f>
        <v>5</v>
      </c>
      <c r="I47" s="132">
        <f>Ref_table!I92</f>
        <v>0</v>
      </c>
      <c r="J47" s="13">
        <f>Ref_table!J92</f>
        <v>0</v>
      </c>
      <c r="K47" s="172">
        <f>Ref_table!K92</f>
        <v>0</v>
      </c>
      <c r="L47" s="175">
        <f>Ref_table!L92</f>
        <v>0</v>
      </c>
      <c r="M47" s="175">
        <f>Ref_table!M92</f>
        <v>0</v>
      </c>
      <c r="N47" s="555">
        <f>Ref_table!N92</f>
        <v>0</v>
      </c>
      <c r="O47" s="30">
        <f>Ref_table!O92</f>
        <v>0</v>
      </c>
      <c r="P47" s="537">
        <f>Ref_table!P92</f>
        <v>0</v>
      </c>
      <c r="Q47" s="367">
        <f>Ref_table!Q92</f>
        <v>0</v>
      </c>
    </row>
    <row r="48" spans="1:17" ht="15">
      <c r="A48" s="71" t="str">
        <f>Ref_table!A93</f>
        <v>B6</v>
      </c>
      <c r="B48" s="108" t="str">
        <f>Ref_table!B93</f>
        <v>Carbon stress coefficient t10 (~2005) </v>
      </c>
      <c r="C48" s="2">
        <f>Ref_table!C93</f>
        <v>0.25</v>
      </c>
      <c r="D48" s="2">
        <f>Ref_table!D93</f>
        <v>0.16</v>
      </c>
      <c r="E48" s="2">
        <f>Ref_table!E93</f>
        <v>0.2</v>
      </c>
      <c r="F48" s="2">
        <f>Ref_table!F93</f>
        <v>0.09</v>
      </c>
      <c r="G48" s="2">
        <f>Ref_table!G93</f>
        <v>0.11</v>
      </c>
      <c r="H48" s="2">
        <f>Ref_table!H93</f>
        <v>0.29</v>
      </c>
      <c r="I48" s="132">
        <f>Ref_table!I93</f>
        <v>0</v>
      </c>
      <c r="J48" s="14">
        <f>Ref_table!J93</f>
        <v>0</v>
      </c>
      <c r="K48" s="172">
        <f>Ref_table!K93</f>
        <v>0</v>
      </c>
      <c r="L48" s="300">
        <f>Ref_table!L93</f>
        <v>0.8</v>
      </c>
      <c r="M48" s="171">
        <f>Ref_table!M93</f>
        <v>0</v>
      </c>
      <c r="N48" s="553">
        <f>Ref_table!N93</f>
        <v>0</v>
      </c>
      <c r="O48" s="24">
        <f>Ref_table!O93</f>
        <v>0</v>
      </c>
      <c r="P48" s="527">
        <f>Ref_table!P93</f>
        <v>0</v>
      </c>
      <c r="Q48" s="99">
        <f>Ref_table!Q93</f>
        <v>0</v>
      </c>
    </row>
    <row r="49" spans="1:17" ht="15">
      <c r="A49" s="79" t="str">
        <f>Ref_table!A94</f>
        <v>b61</v>
      </c>
      <c r="B49" s="102" t="str">
        <f>Ref_table!B94</f>
        <v>A = Total area% WHERE NECB_Soil &lt; or = 0</v>
      </c>
      <c r="C49" s="4">
        <f>Ref_table!C94</f>
        <v>10</v>
      </c>
      <c r="D49" s="4">
        <f>Ref_table!D94</f>
        <v>13</v>
      </c>
      <c r="E49" s="4">
        <f>Ref_table!E94</f>
        <v>12</v>
      </c>
      <c r="F49" s="4">
        <f>Ref_table!F94</f>
        <v>2</v>
      </c>
      <c r="G49" s="4">
        <f>Ref_table!G94</f>
        <v>3</v>
      </c>
      <c r="H49" s="4">
        <f>Ref_table!H94</f>
        <v>15</v>
      </c>
      <c r="I49" s="132">
        <f>Ref_table!I94</f>
        <v>0</v>
      </c>
      <c r="J49" s="14">
        <f>Ref_table!J94</f>
        <v>0</v>
      </c>
      <c r="K49" s="172">
        <f>Ref_table!K94</f>
        <v>0</v>
      </c>
      <c r="L49" s="171">
        <f>Ref_table!L94</f>
        <v>0</v>
      </c>
      <c r="M49" s="171">
        <f>Ref_table!M94</f>
        <v>0</v>
      </c>
      <c r="N49" s="553">
        <f>Ref_table!N94</f>
        <v>0</v>
      </c>
      <c r="O49" s="24">
        <f>Ref_table!O94</f>
        <v>0</v>
      </c>
      <c r="P49" s="527">
        <f>Ref_table!P94</f>
        <v>0</v>
      </c>
      <c r="Q49" s="99">
        <f>Ref_table!Q94</f>
        <v>0</v>
      </c>
    </row>
    <row r="50" spans="1:17" ht="15">
      <c r="A50" s="79" t="str">
        <f>Ref_table!A95</f>
        <v>b62</v>
      </c>
      <c r="B50" s="109" t="str">
        <f>Ref_table!B95</f>
        <v> B =  area% of SELU WHERE NECB_Trees &amp; shrubs &lt; NEP surplus</v>
      </c>
      <c r="C50" s="4">
        <f>Ref_table!C95</f>
        <v>15</v>
      </c>
      <c r="D50" s="4">
        <f>Ref_table!D95</f>
        <v>3</v>
      </c>
      <c r="E50" s="4">
        <f>Ref_table!E95</f>
        <v>8</v>
      </c>
      <c r="F50" s="4">
        <f>Ref_table!F95</f>
        <v>7</v>
      </c>
      <c r="G50" s="4">
        <f>Ref_table!G95</f>
        <v>8</v>
      </c>
      <c r="H50" s="4">
        <f>Ref_table!H95</f>
        <v>14</v>
      </c>
      <c r="I50" s="132">
        <f>Ref_table!I95</f>
        <v>0</v>
      </c>
      <c r="J50" s="14">
        <f>Ref_table!J95</f>
        <v>0</v>
      </c>
      <c r="K50" s="172">
        <f>Ref_table!K95</f>
        <v>0</v>
      </c>
      <c r="L50" s="171">
        <f>Ref_table!L95</f>
        <v>0</v>
      </c>
      <c r="M50" s="171">
        <f>Ref_table!M95</f>
        <v>0</v>
      </c>
      <c r="N50" s="553">
        <f>Ref_table!N95</f>
        <v>0</v>
      </c>
      <c r="O50" s="24">
        <f>Ref_table!O95</f>
        <v>0</v>
      </c>
      <c r="P50" s="527">
        <f>Ref_table!P95</f>
        <v>0</v>
      </c>
      <c r="Q50" s="99">
        <f>Ref_table!Q95</f>
        <v>0</v>
      </c>
    </row>
    <row r="51" spans="1:17" ht="15">
      <c r="A51" s="203">
        <f>Ref_table!A96</f>
        <v>0</v>
      </c>
      <c r="B51" s="13">
        <f>Ref_table!B96</f>
        <v>0</v>
      </c>
      <c r="C51" s="13">
        <f>Ref_table!C96</f>
        <v>0</v>
      </c>
      <c r="D51" s="13">
        <f>Ref_table!D96</f>
        <v>0</v>
      </c>
      <c r="E51" s="13">
        <f>Ref_table!E96</f>
        <v>0</v>
      </c>
      <c r="F51" s="13">
        <f>Ref_table!F96</f>
        <v>0</v>
      </c>
      <c r="G51" s="13">
        <f>Ref_table!G96</f>
        <v>0</v>
      </c>
      <c r="H51" s="13">
        <f>Ref_table!H96</f>
        <v>0</v>
      </c>
      <c r="I51" s="15">
        <f>Ref_table!I96</f>
        <v>0</v>
      </c>
      <c r="J51" s="13">
        <f>Ref_table!J96</f>
        <v>0</v>
      </c>
      <c r="K51" s="89">
        <f>Ref_table!K96</f>
        <v>0</v>
      </c>
      <c r="L51" s="204">
        <f>Ref_table!L96</f>
        <v>0</v>
      </c>
      <c r="M51" s="204">
        <f>Ref_table!M96</f>
        <v>0</v>
      </c>
      <c r="N51" s="204">
        <f>Ref_table!N96</f>
        <v>0</v>
      </c>
      <c r="O51" s="26">
        <f>Ref_table!O96</f>
        <v>0</v>
      </c>
      <c r="P51" s="372">
        <f>Ref_table!P96</f>
        <v>0</v>
      </c>
      <c r="Q51" s="367">
        <f>Ref_table!Q96</f>
        <v>0</v>
      </c>
    </row>
    <row r="52" spans="1:17" ht="15">
      <c r="A52" s="71" t="str">
        <f>Ref_table!A97</f>
        <v>B7</v>
      </c>
      <c r="B52" s="92" t="str">
        <f>Ref_table!B97</f>
        <v>Net Ecosystem Accessible Carbon Surplus: NEACS t1 (~1995), weighted 10^6 tonnes of C [proxy b47*B8] </v>
      </c>
      <c r="C52" s="17">
        <f>Ref_table!C97</f>
        <v>66.1725</v>
      </c>
      <c r="D52" s="17">
        <f>Ref_table!D97</f>
        <v>250.58</v>
      </c>
      <c r="E52" s="17">
        <f>Ref_table!E97</f>
        <v>272.84999999999997</v>
      </c>
      <c r="F52" s="17">
        <f>Ref_table!F97</f>
        <v>350.45</v>
      </c>
      <c r="G52" s="17">
        <f>Ref_table!G97</f>
        <v>82.81</v>
      </c>
      <c r="H52" s="17">
        <f>Ref_table!H97</f>
        <v>249.9</v>
      </c>
      <c r="I52" s="132">
        <f>Ref_table!I97</f>
        <v>1272.7625</v>
      </c>
      <c r="J52" s="14">
        <f>Ref_table!J97</f>
        <v>0</v>
      </c>
      <c r="K52" s="172">
        <f>Ref_table!K97</f>
        <v>1272.7625</v>
      </c>
      <c r="L52" s="297">
        <f>Ref_table!L97</f>
        <v>12.031200000000002</v>
      </c>
      <c r="M52" s="297">
        <f>Ref_table!M97</f>
        <v>2.406240000000001</v>
      </c>
      <c r="N52" s="668">
        <f>Ref_table!N97</f>
        <v>14.437440000000002</v>
      </c>
      <c r="O52" s="24">
        <f>Ref_table!O97</f>
        <v>0</v>
      </c>
      <c r="P52" s="877">
        <f>Ref_table!P97</f>
        <v>13717.0719</v>
      </c>
      <c r="Q52" s="99">
        <f>Ref_table!Q97</f>
        <v>0</v>
      </c>
    </row>
    <row r="53" spans="1:17" ht="15">
      <c r="A53" s="71" t="str">
        <f>Ref_table!A98</f>
        <v>B8</v>
      </c>
      <c r="B53" s="92" t="str">
        <f>Ref_table!B98</f>
        <v>Net Ecosystem Accessible Carbon Surplus: NEACS t10 (~2005), weighted 10^6 tonnes of C [proxy b47*B9]</v>
      </c>
      <c r="C53" s="17">
        <f>Ref_table!C98</f>
        <v>58.387499999999996</v>
      </c>
      <c r="D53" s="17">
        <f>Ref_table!D98</f>
        <v>239.19</v>
      </c>
      <c r="E53" s="17">
        <f>Ref_table!E98</f>
        <v>256.8</v>
      </c>
      <c r="F53" s="17">
        <f>Ref_table!F98</f>
        <v>370.825</v>
      </c>
      <c r="G53" s="17">
        <f>Ref_table!G98</f>
        <v>80.99</v>
      </c>
      <c r="H53" s="17">
        <f>Ref_table!H98</f>
        <v>208.73999999999998</v>
      </c>
      <c r="I53" s="132">
        <f>Ref_table!I98</f>
        <v>1214.9325000000001</v>
      </c>
      <c r="J53" s="14">
        <f>Ref_table!J98</f>
        <v>0</v>
      </c>
      <c r="K53" s="172">
        <f>Ref_table!K98</f>
        <v>1214.9325000000001</v>
      </c>
      <c r="L53" s="297">
        <f>Ref_table!L98</f>
        <v>4.9895999999999985</v>
      </c>
      <c r="M53" s="297">
        <f>Ref_table!M98</f>
        <v>0.9979199999999999</v>
      </c>
      <c r="N53" s="668">
        <f>Ref_table!N98</f>
        <v>5.987519999999998</v>
      </c>
      <c r="O53" s="24">
        <f>Ref_table!O98</f>
        <v>0</v>
      </c>
      <c r="P53" s="877">
        <f>Ref_table!P98</f>
        <v>12509.9695728</v>
      </c>
      <c r="Q53" s="99">
        <f>Ref_table!Q98</f>
        <v>0</v>
      </c>
    </row>
    <row r="54" spans="1:17" ht="15">
      <c r="A54" s="73" t="str">
        <f>Ref_table!A99</f>
        <v>B8-B7</v>
      </c>
      <c r="B54" s="37" t="str">
        <f>Ref_table!B99</f>
        <v>Change in NEAC</v>
      </c>
      <c r="C54" s="61">
        <f>Ref_table!C99</f>
        <v>-7.785000000000004</v>
      </c>
      <c r="D54" s="61">
        <f>Ref_table!D99</f>
        <v>-11.390000000000015</v>
      </c>
      <c r="E54" s="61">
        <f>Ref_table!E99</f>
        <v>-16.049999999999955</v>
      </c>
      <c r="F54" s="61">
        <f>Ref_table!F99</f>
        <v>20.375</v>
      </c>
      <c r="G54" s="61">
        <f>Ref_table!G99</f>
        <v>-1.8200000000000074</v>
      </c>
      <c r="H54" s="61">
        <f>Ref_table!H99</f>
        <v>-41.160000000000025</v>
      </c>
      <c r="I54" s="268">
        <f>Ref_table!I99</f>
        <v>-57.82999999999993</v>
      </c>
      <c r="J54" s="116">
        <f>Ref_table!J99</f>
        <v>0</v>
      </c>
      <c r="K54" s="172">
        <f>Ref_table!K99</f>
        <v>-57.82999999999993</v>
      </c>
      <c r="L54" s="61">
        <f>Ref_table!L99</f>
        <v>-7.041600000000003</v>
      </c>
      <c r="M54" s="61">
        <f>Ref_table!M99</f>
        <v>-1.408320000000001</v>
      </c>
      <c r="N54" s="669">
        <f>Ref_table!N99</f>
        <v>-8.449920000000004</v>
      </c>
      <c r="O54" s="531">
        <f>Ref_table!O99</f>
        <v>0</v>
      </c>
      <c r="P54" s="877">
        <f>Ref_table!P99</f>
        <v>-1207.1023272000002</v>
      </c>
      <c r="Q54" s="534">
        <f>Ref_table!Q99</f>
        <v>0</v>
      </c>
    </row>
    <row r="55" spans="1:17" ht="15">
      <c r="A55" s="73" t="str">
        <f>Ref_table!A100</f>
        <v>B8-B7/10</v>
      </c>
      <c r="B55" s="37" t="str">
        <f>Ref_table!B100</f>
        <v>Mean Annual Change in NEAC %</v>
      </c>
      <c r="C55" s="61">
        <f>Ref_table!C100</f>
        <v>-11.764705882352947</v>
      </c>
      <c r="D55" s="61">
        <f>Ref_table!D100</f>
        <v>-4.545454545454551</v>
      </c>
      <c r="E55" s="61">
        <f>Ref_table!E100</f>
        <v>-5.882352941176455</v>
      </c>
      <c r="F55" s="61">
        <f>Ref_table!F100</f>
        <v>5.813953488372094</v>
      </c>
      <c r="G55" s="61">
        <f>Ref_table!G100</f>
        <v>-2.1978021978022064</v>
      </c>
      <c r="H55" s="61">
        <f>Ref_table!H100</f>
        <v>-16.470588235294127</v>
      </c>
      <c r="I55" s="268">
        <f>Ref_table!I100</f>
        <v>-4.543659952269173</v>
      </c>
      <c r="J55" s="116">
        <f>Ref_table!J100</f>
        <v>0</v>
      </c>
      <c r="K55" s="268">
        <f>Ref_table!K100</f>
        <v>-4.543659952269173</v>
      </c>
      <c r="L55" s="61">
        <f>Ref_table!L100</f>
        <v>-58.52782764811492</v>
      </c>
      <c r="M55" s="61">
        <f>Ref_table!M100</f>
        <v>-58.52782764811492</v>
      </c>
      <c r="N55" s="669">
        <f>Ref_table!N100</f>
        <v>-58.52782764811492</v>
      </c>
      <c r="O55" s="531">
        <f>Ref_table!O100</f>
        <v>0</v>
      </c>
      <c r="P55" s="671">
        <f>Ref_table!P100</f>
        <v>-0.88</v>
      </c>
      <c r="Q55" s="534">
        <f>Ref_table!Q100</f>
        <v>0</v>
      </c>
    </row>
    <row r="56" spans="1:17" ht="15">
      <c r="A56" s="55" t="str">
        <f>Ref_table!A101</f>
        <v>B9</v>
      </c>
      <c r="B56" s="92" t="str">
        <f>Ref_table!B101</f>
        <v>Use of biological carbon (removals) t1 (~1995), weighted 10^6 tonnes of C [b481+b482+b483-b484]</v>
      </c>
      <c r="C56" s="17">
        <f>Ref_table!C101</f>
        <v>68.5</v>
      </c>
      <c r="D56" s="17">
        <f>Ref_table!D101</f>
        <v>280</v>
      </c>
      <c r="E56" s="17">
        <f>Ref_table!E101</f>
        <v>264.8</v>
      </c>
      <c r="F56" s="17">
        <f>Ref_table!F101</f>
        <v>308.5</v>
      </c>
      <c r="G56" s="17">
        <f>Ref_table!G101</f>
        <v>82.6</v>
      </c>
      <c r="H56" s="17">
        <f>Ref_table!H101</f>
        <v>268</v>
      </c>
      <c r="I56" s="132">
        <f>Ref_table!I101</f>
        <v>1272.4</v>
      </c>
      <c r="J56" s="110">
        <f>Ref_table!J101</f>
        <v>0</v>
      </c>
      <c r="K56" s="172">
        <f>Ref_table!K101</f>
        <v>1272.4</v>
      </c>
      <c r="L56" s="297">
        <f>Ref_table!L101</f>
        <v>6.684</v>
      </c>
      <c r="M56" s="299">
        <f>Ref_table!M101</f>
        <v>1.3368000000000002</v>
      </c>
      <c r="N56" s="668">
        <f>Ref_table!N101</f>
        <v>8.020800000000001</v>
      </c>
      <c r="O56" s="532">
        <f>Ref_table!O101</f>
        <v>0</v>
      </c>
      <c r="P56" s="431">
        <f>Ref_table!P101</f>
        <v>-1272.4</v>
      </c>
      <c r="Q56" s="535">
        <f>Ref_table!Q101</f>
        <v>0</v>
      </c>
    </row>
    <row r="57" spans="1:17" ht="15">
      <c r="A57" s="710" t="str">
        <f>Ref_table!A102</f>
        <v>B10</v>
      </c>
      <c r="B57" s="711" t="str">
        <f>Ref_table!B102</f>
        <v>Use of biological carbon (removals) t10 (~2005), weighted 10^6 tonnes of C [b481+b482+b483-b484]*0.99</v>
      </c>
      <c r="C57" s="712">
        <f>Ref_table!C102</f>
        <v>67.815</v>
      </c>
      <c r="D57" s="712">
        <f>Ref_table!D102</f>
        <v>277.2</v>
      </c>
      <c r="E57" s="712">
        <f>Ref_table!E102</f>
        <v>262.152</v>
      </c>
      <c r="F57" s="712">
        <f>Ref_table!F102</f>
        <v>305.415</v>
      </c>
      <c r="G57" s="712">
        <f>Ref_table!G102</f>
        <v>81.77399999999999</v>
      </c>
      <c r="H57" s="712">
        <f>Ref_table!H102</f>
        <v>265.32</v>
      </c>
      <c r="I57" s="713">
        <f>Ref_table!I102</f>
        <v>1259.676</v>
      </c>
      <c r="J57" s="110">
        <f>Ref_table!J102</f>
        <v>0</v>
      </c>
      <c r="K57" s="714">
        <f>Ref_table!K102</f>
        <v>1259.676</v>
      </c>
      <c r="L57" s="299">
        <f>Ref_table!L102</f>
        <v>4.536</v>
      </c>
      <c r="M57" s="299">
        <f>Ref_table!M102</f>
        <v>0.9072</v>
      </c>
      <c r="N57" s="715">
        <f>Ref_table!N102</f>
        <v>5.443199999999999</v>
      </c>
      <c r="O57" s="532">
        <f>Ref_table!O102</f>
        <v>0</v>
      </c>
      <c r="P57" s="431">
        <f>Ref_table!P102</f>
        <v>-1259.676</v>
      </c>
      <c r="Q57" s="535">
        <f>Ref_table!Q102</f>
        <v>0</v>
      </c>
    </row>
    <row r="58" spans="1:17" ht="15">
      <c r="A58" s="710" t="str">
        <f>Ref_table!A103</f>
        <v>B11</v>
      </c>
      <c r="B58" s="92" t="str">
        <f>Ref_table!B103</f>
        <v>Use of fossil carbon, t1 (~1995), 10^6 tonnes</v>
      </c>
      <c r="C58" s="716">
        <f>Ref_table!C103</f>
        <v>0</v>
      </c>
      <c r="D58" s="716">
        <f>Ref_table!D103</f>
        <v>0</v>
      </c>
      <c r="E58" s="716">
        <f>Ref_table!E103</f>
        <v>0</v>
      </c>
      <c r="F58" s="716">
        <f>Ref_table!F103</f>
        <v>0</v>
      </c>
      <c r="G58" s="716">
        <f>Ref_table!G103</f>
        <v>0</v>
      </c>
      <c r="H58" s="716">
        <f>Ref_table!H103</f>
        <v>0</v>
      </c>
      <c r="I58" s="717">
        <f>Ref_table!I103</f>
        <v>0</v>
      </c>
      <c r="J58" s="716">
        <f>Ref_table!J103</f>
        <v>0</v>
      </c>
      <c r="K58" s="717">
        <f>Ref_table!K103</f>
        <v>0</v>
      </c>
      <c r="L58" s="716">
        <f>Ref_table!L103</f>
        <v>0</v>
      </c>
      <c r="M58" s="716">
        <f>Ref_table!M103</f>
        <v>0</v>
      </c>
      <c r="N58" s="716">
        <f>Ref_table!N103</f>
        <v>0</v>
      </c>
      <c r="O58" s="718">
        <f>Ref_table!O103</f>
        <v>0</v>
      </c>
      <c r="P58" s="527">
        <f>Ref_table!P103</f>
        <v>-1721.7</v>
      </c>
      <c r="Q58" s="535">
        <f>Ref_table!Q103</f>
        <v>0</v>
      </c>
    </row>
    <row r="59" spans="1:17" ht="15">
      <c r="A59" s="710" t="str">
        <f>Ref_table!A104</f>
        <v>B12</v>
      </c>
      <c r="B59" s="92" t="str">
        <f>Ref_table!B104</f>
        <v>Use of fossil carbon, t1 (~2005), 10^6 tonnes</v>
      </c>
      <c r="C59" s="716">
        <f>Ref_table!C104</f>
        <v>0</v>
      </c>
      <c r="D59" s="716">
        <f>Ref_table!D104</f>
        <v>0</v>
      </c>
      <c r="E59" s="716">
        <f>Ref_table!E104</f>
        <v>0</v>
      </c>
      <c r="F59" s="716">
        <f>Ref_table!F104</f>
        <v>0</v>
      </c>
      <c r="G59" s="716">
        <f>Ref_table!G104</f>
        <v>0</v>
      </c>
      <c r="H59" s="716">
        <f>Ref_table!H104</f>
        <v>0</v>
      </c>
      <c r="I59" s="717">
        <f>Ref_table!I104</f>
        <v>0</v>
      </c>
      <c r="J59" s="716">
        <f>Ref_table!J104</f>
        <v>0</v>
      </c>
      <c r="K59" s="717">
        <f>Ref_table!K104</f>
        <v>0</v>
      </c>
      <c r="L59" s="716">
        <f>Ref_table!L104</f>
        <v>0</v>
      </c>
      <c r="M59" s="716">
        <f>Ref_table!M104</f>
        <v>0</v>
      </c>
      <c r="N59" s="716">
        <f>Ref_table!N104</f>
        <v>0</v>
      </c>
      <c r="O59" s="718">
        <f>Ref_table!O104</f>
        <v>0</v>
      </c>
      <c r="P59" s="719">
        <f>Ref_table!P104</f>
        <v>-1913</v>
      </c>
      <c r="Q59" s="535">
        <f>Ref_table!Q104</f>
        <v>0</v>
      </c>
    </row>
    <row r="60" spans="1:17" ht="15">
      <c r="A60" s="203">
        <f>Ref_table!A105</f>
        <v>0</v>
      </c>
      <c r="B60" s="13">
        <f>Ref_table!B105</f>
        <v>0</v>
      </c>
      <c r="C60" s="13">
        <f>Ref_table!C105</f>
        <v>0</v>
      </c>
      <c r="D60" s="13">
        <f>Ref_table!D105</f>
        <v>0</v>
      </c>
      <c r="E60" s="13">
        <f>Ref_table!E105</f>
        <v>0</v>
      </c>
      <c r="F60" s="13">
        <f>Ref_table!F105</f>
        <v>0</v>
      </c>
      <c r="G60" s="13">
        <f>Ref_table!G105</f>
        <v>0</v>
      </c>
      <c r="H60" s="13">
        <f>Ref_table!H105</f>
        <v>0</v>
      </c>
      <c r="I60" s="15">
        <f>Ref_table!I105</f>
        <v>0</v>
      </c>
      <c r="J60" s="13">
        <f>Ref_table!J105</f>
        <v>0</v>
      </c>
      <c r="K60" s="89">
        <f>Ref_table!K105</f>
        <v>0</v>
      </c>
      <c r="L60" s="204">
        <f>Ref_table!L105</f>
        <v>0</v>
      </c>
      <c r="M60" s="204">
        <f>Ref_table!M105</f>
        <v>0</v>
      </c>
      <c r="N60" s="579">
        <f>Ref_table!N105</f>
        <v>0</v>
      </c>
      <c r="O60" s="26">
        <f>Ref_table!O105</f>
        <v>0</v>
      </c>
      <c r="P60" s="372">
        <f>Ref_table!P105</f>
        <v>0</v>
      </c>
      <c r="Q60" s="367">
        <f>Ref_table!Q105</f>
        <v>0</v>
      </c>
    </row>
    <row r="61" spans="1:17" ht="15">
      <c r="A61" s="73" t="str">
        <f>Ref_table!A106</f>
        <v>B13</v>
      </c>
      <c r="B61" s="115" t="str">
        <f>Ref_table!B106</f>
        <v>Ecosystem Accessible Carbon Surplus index t1 (~1995), [B7/B9*100)] [NB should be &gt;100]</v>
      </c>
      <c r="C61" s="38">
        <f>Ref_table!C106</f>
        <v>96.60218978102189</v>
      </c>
      <c r="D61" s="38">
        <f>Ref_table!D106</f>
        <v>89.49285714285715</v>
      </c>
      <c r="E61" s="38">
        <f>Ref_table!E106</f>
        <v>103.04003021148034</v>
      </c>
      <c r="F61" s="38">
        <f>Ref_table!F106</f>
        <v>113.59805510534846</v>
      </c>
      <c r="G61" s="38">
        <f>Ref_table!G106</f>
        <v>100.25423728813561</v>
      </c>
      <c r="H61" s="38">
        <f>Ref_table!H106</f>
        <v>93.24626865671642</v>
      </c>
      <c r="I61" s="249">
        <f>Ref_table!I106</f>
        <v>100.02848946872052</v>
      </c>
      <c r="J61" s="116">
        <f>Ref_table!J106</f>
        <v>0</v>
      </c>
      <c r="K61" s="181">
        <f>Ref_table!K106</f>
        <v>100.02848946872052</v>
      </c>
      <c r="L61" s="236">
        <f>Ref_table!L106</f>
        <v>180.00000000000003</v>
      </c>
      <c r="M61" s="236">
        <f>Ref_table!M106</f>
        <v>180.00000000000003</v>
      </c>
      <c r="N61" s="249">
        <f>Ref_table!N106</f>
        <v>180</v>
      </c>
      <c r="O61" s="531">
        <f>Ref_table!O106</f>
        <v>0</v>
      </c>
      <c r="P61" s="541">
        <f>Ref_table!P106</f>
        <v>0</v>
      </c>
      <c r="Q61" s="534">
        <f>Ref_table!Q106</f>
        <v>0</v>
      </c>
    </row>
    <row r="62" spans="1:17" ht="15.75" thickBot="1">
      <c r="A62" s="74" t="str">
        <f>Ref_table!A107</f>
        <v>B14</v>
      </c>
      <c r="B62" s="67" t="str">
        <f>Ref_table!B107</f>
        <v>Ecosystem Accessible Carbon Surplus index t10 (~2005), [B8/B10*100)] [NB should be &gt;100]</v>
      </c>
      <c r="C62" s="117">
        <f>Ref_table!C107</f>
        <v>86.09820836098207</v>
      </c>
      <c r="D62" s="117">
        <f>Ref_table!D107</f>
        <v>86.2878787878788</v>
      </c>
      <c r="E62" s="117">
        <f>Ref_table!E107</f>
        <v>97.9584363270164</v>
      </c>
      <c r="F62" s="117">
        <f>Ref_table!F107</f>
        <v>121.41676080087748</v>
      </c>
      <c r="G62" s="117">
        <f>Ref_table!G107</f>
        <v>99.04126005820922</v>
      </c>
      <c r="H62" s="117">
        <f>Ref_table!H107</f>
        <v>78.67480777928539</v>
      </c>
      <c r="I62" s="252">
        <f>Ref_table!I107</f>
        <v>96.44801520390959</v>
      </c>
      <c r="J62" s="69">
        <f>Ref_table!J107</f>
        <v>0</v>
      </c>
      <c r="K62" s="182">
        <f>Ref_table!K107</f>
        <v>96.44801520390959</v>
      </c>
      <c r="L62" s="180">
        <f>Ref_table!L107</f>
        <v>109.99999999999999</v>
      </c>
      <c r="M62" s="180">
        <f>Ref_table!M107</f>
        <v>109.99999999999999</v>
      </c>
      <c r="N62" s="252">
        <f>Ref_table!N107</f>
        <v>109.99999999999999</v>
      </c>
      <c r="O62" s="533">
        <f>Ref_table!O107</f>
        <v>0</v>
      </c>
      <c r="P62" s="542">
        <f>Ref_table!P107</f>
        <v>0</v>
      </c>
      <c r="Q62" s="369">
        <f>Ref_table!Q107</f>
        <v>0</v>
      </c>
    </row>
    <row r="63" ht="15">
      <c r="A63" s="93"/>
    </row>
    <row r="64" ht="15">
      <c r="A64" s="93"/>
    </row>
    <row r="65" ht="15">
      <c r="A65" s="93"/>
    </row>
  </sheetData>
  <sheetProtection/>
  <mergeCells count="8">
    <mergeCell ref="A16:K16"/>
    <mergeCell ref="A44:K44"/>
    <mergeCell ref="A3:B4"/>
    <mergeCell ref="C3:J3"/>
    <mergeCell ref="K3:K4"/>
    <mergeCell ref="L3:O3"/>
    <mergeCell ref="Q3:Q4"/>
    <mergeCell ref="A5:K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72"/>
  <sheetViews>
    <sheetView showZeros="0" zoomScale="60" zoomScaleNormal="60" zoomScalePageLayoutView="0" workbookViewId="0" topLeftCell="A1">
      <selection activeCell="I21" sqref="I21"/>
    </sheetView>
  </sheetViews>
  <sheetFormatPr defaultColWidth="9.140625" defaultRowHeight="15"/>
  <cols>
    <col min="1" max="1" width="15.8515625" style="0" customWidth="1"/>
    <col min="2" max="2" width="99.7109375" style="0" customWidth="1"/>
    <col min="3" max="3" width="12.421875" style="0" customWidth="1"/>
    <col min="4" max="4" width="13.7109375" style="0" customWidth="1"/>
    <col min="5" max="5" width="14.8515625" style="0" customWidth="1"/>
    <col min="6" max="6" width="11.7109375" style="0" customWidth="1"/>
    <col min="7" max="7" width="13.8515625" style="0" customWidth="1"/>
    <col min="8" max="9" width="12.57421875" style="0" customWidth="1"/>
    <col min="10" max="10" width="14.140625" style="0" customWidth="1"/>
    <col min="11" max="11" width="15.00390625" style="0" customWidth="1"/>
    <col min="12" max="12" width="12.00390625" style="0" customWidth="1"/>
    <col min="13" max="13" width="14.140625" style="0" customWidth="1"/>
    <col min="14" max="14" width="12.00390625" style="0" customWidth="1"/>
    <col min="15" max="15" width="12.7109375" style="0" customWidth="1"/>
    <col min="16" max="17" width="17.7109375" style="0" customWidth="1"/>
  </cols>
  <sheetData>
    <row r="1" ht="15">
      <c r="A1" t="str">
        <f>'Table B - Biomass-C'!A1</f>
        <v>SECA - Simplified Ecosystem Capital Accounts</v>
      </c>
    </row>
    <row r="2" ht="15.75" thickBot="1">
      <c r="A2" s="93" t="str">
        <f>'Table B - Biomass-C'!A2</f>
        <v>Draft Tables and Mock-up</v>
      </c>
    </row>
    <row r="3" spans="1:17" ht="15">
      <c r="A3" s="1036" t="str">
        <f>Ref_table!A109</f>
        <v>[C] Ecosystem Capital Water  Account:                                                                                                             Total Ecosystem Accessible Fresh Water (TEAW) &amp;                                                                                 Net Ecosystem Accessible Fresh Water Surplus (NEAWS)</v>
      </c>
      <c r="B3" s="1037">
        <f>Ref_table!B109</f>
        <v>0</v>
      </c>
      <c r="C3" s="1101" t="str">
        <f>Ref_table!C109</f>
        <v>Inland ecosytem landscapes</v>
      </c>
      <c r="D3" s="1102">
        <f>Ref_table!D109</f>
        <v>0</v>
      </c>
      <c r="E3" s="1102">
        <f>Ref_table!E109</f>
        <v>0</v>
      </c>
      <c r="F3" s="1102">
        <f>Ref_table!F109</f>
        <v>0</v>
      </c>
      <c r="G3" s="1102">
        <f>Ref_table!G109</f>
        <v>0</v>
      </c>
      <c r="H3" s="1102">
        <f>Ref_table!H109</f>
        <v>0</v>
      </c>
      <c r="I3" s="1102">
        <f>Ref_table!I109</f>
        <v>0</v>
      </c>
      <c r="J3" s="1103">
        <f>Ref_table!J109</f>
        <v>0</v>
      </c>
      <c r="K3" s="1048" t="str">
        <f>Ref_table!K109</f>
        <v>TOTAL 1 inland ecosystems</v>
      </c>
      <c r="L3" s="1098" t="str">
        <f>Ref_table!L109</f>
        <v>Sea</v>
      </c>
      <c r="M3" s="1097">
        <f>Ref_table!M109</f>
        <v>0</v>
      </c>
      <c r="N3" s="1097">
        <f>Ref_table!N109</f>
        <v>0</v>
      </c>
      <c r="O3" s="1100">
        <f>Ref_table!O109</f>
        <v>0</v>
      </c>
      <c r="P3" s="499" t="str">
        <f>Ref_table!P109</f>
        <v>Atmosphere</v>
      </c>
      <c r="Q3" s="1053" t="str">
        <f>Ref_table!Q109</f>
        <v>GRAND TOTAL</v>
      </c>
    </row>
    <row r="4" spans="1:17" ht="105.75" thickBot="1">
      <c r="A4" s="1040">
        <f>Ref_table!A110</f>
        <v>0</v>
      </c>
      <c r="B4" s="1041">
        <f>Ref_table!B110</f>
        <v>0</v>
      </c>
      <c r="C4" s="152" t="str">
        <f>Ref_table!C110</f>
        <v>Dominant urban landscape</v>
      </c>
      <c r="D4" s="152" t="str">
        <f>Ref_table!D110</f>
        <v>Dominant agriculture/ cropland</v>
      </c>
      <c r="E4" s="152" t="str">
        <f>Ref_table!E110</f>
        <v>Dominant agriculture/ mixed landscape</v>
      </c>
      <c r="F4" s="152" t="str">
        <f>Ref_table!F110</f>
        <v>Dominant forested landscape</v>
      </c>
      <c r="G4" s="152" t="str">
        <f>Ref_table!G110</f>
        <v>Other dominant natural landscape</v>
      </c>
      <c r="H4" s="152" t="str">
        <f>Ref_table!H110</f>
        <v>Composite landscape</v>
      </c>
      <c r="I4" s="153" t="str">
        <f>Ref_table!I110</f>
        <v>TOT Land</v>
      </c>
      <c r="J4" s="152" t="str">
        <f>Ref_table!J110</f>
        <v>Hydrological system   </v>
      </c>
      <c r="K4" s="1049">
        <f>Ref_table!K110</f>
        <v>0</v>
      </c>
      <c r="L4" s="353" t="str">
        <f>Ref_table!L110</f>
        <v>Fisheries (EEZ, all fishing areas)</v>
      </c>
      <c r="M4" s="152" t="str">
        <f>Ref_table!M110</f>
        <v>International</v>
      </c>
      <c r="N4" s="354" t="str">
        <f>Ref_table!N110</f>
        <v>TOTAL  Fisheries</v>
      </c>
      <c r="O4" s="371" t="str">
        <f>Ref_table!O110</f>
        <v>Regulation potential (C assimilation)</v>
      </c>
      <c r="P4" s="371" t="str">
        <f>Ref_table!P110</f>
        <v>Regulation potential (C assimilation)</v>
      </c>
      <c r="Q4" s="1054">
        <f>Ref_table!Q110</f>
        <v>0</v>
      </c>
    </row>
    <row r="5" spans="1:17" ht="15.75">
      <c r="A5" s="1062" t="str">
        <f>Ref_table!A111</f>
        <v>Water stock accounts</v>
      </c>
      <c r="B5" s="1063">
        <f>Ref_table!B111</f>
        <v>0</v>
      </c>
      <c r="C5" s="1063">
        <f>Ref_table!C111</f>
        <v>0</v>
      </c>
      <c r="D5" s="1063">
        <f>Ref_table!D111</f>
        <v>0</v>
      </c>
      <c r="E5" s="1063">
        <f>Ref_table!E111</f>
        <v>0</v>
      </c>
      <c r="F5" s="1063">
        <f>Ref_table!F111</f>
        <v>0</v>
      </c>
      <c r="G5" s="1063">
        <f>Ref_table!G111</f>
        <v>0</v>
      </c>
      <c r="H5" s="1063">
        <f>Ref_table!H111</f>
        <v>0</v>
      </c>
      <c r="I5" s="1063">
        <f>Ref_table!I111</f>
        <v>0</v>
      </c>
      <c r="J5" s="1063">
        <f>Ref_table!J111</f>
        <v>0</v>
      </c>
      <c r="K5" s="1064">
        <f>Ref_table!K111</f>
        <v>0</v>
      </c>
      <c r="L5" s="375">
        <f>Ref_table!L111</f>
        <v>0</v>
      </c>
      <c r="M5" s="376">
        <f>Ref_table!M111</f>
        <v>0</v>
      </c>
      <c r="N5" s="376">
        <f>Ref_table!N111</f>
        <v>0</v>
      </c>
      <c r="O5" s="377">
        <f>Ref_table!O111</f>
        <v>0</v>
      </c>
      <c r="P5" s="378">
        <f>Ref_table!P111</f>
        <v>0</v>
      </c>
      <c r="Q5" s="379">
        <f>Ref_table!Q111</f>
        <v>0</v>
      </c>
    </row>
    <row r="6" spans="1:17" ht="15">
      <c r="A6" s="75" t="str">
        <f>Ref_table!A112</f>
        <v>C1</v>
      </c>
      <c r="B6" s="31" t="str">
        <f>Ref_table!B112</f>
        <v>Water stock t1 (~1995) 10^6 m^3</v>
      </c>
      <c r="C6" s="9">
        <f>Ref_table!C112</f>
        <v>1390997.5184931268</v>
      </c>
      <c r="D6" s="9">
        <f>Ref_table!D112</f>
        <v>2996992.5916478965</v>
      </c>
      <c r="E6" s="9">
        <f>Ref_table!E112</f>
        <v>2352990.3496318925</v>
      </c>
      <c r="F6" s="9">
        <f>Ref_table!F112</f>
        <v>2706747.5772858197</v>
      </c>
      <c r="G6" s="9">
        <f>Ref_table!G112</f>
        <v>1721694.9274711495</v>
      </c>
      <c r="H6" s="9">
        <f>Ref_table!H112</f>
        <v>6056896.544887612</v>
      </c>
      <c r="I6" s="132">
        <f>Ref_table!I112</f>
        <v>17226319.509417497</v>
      </c>
      <c r="J6" s="240">
        <f>Ref_table!J112</f>
        <v>17226319.509417497</v>
      </c>
      <c r="K6" s="172">
        <f>Ref_table!K112</f>
        <v>17226319.509417497</v>
      </c>
      <c r="L6" s="301">
        <f>Ref_table!L112</f>
        <v>0</v>
      </c>
      <c r="M6" s="301">
        <f>Ref_table!M112</f>
        <v>0</v>
      </c>
      <c r="N6" s="301">
        <f>Ref_table!N112</f>
        <v>0</v>
      </c>
      <c r="O6" s="302">
        <f>Ref_table!O112</f>
        <v>0</v>
      </c>
      <c r="P6" s="388">
        <f>Ref_table!P112</f>
        <v>0</v>
      </c>
      <c r="Q6" s="374">
        <f>Ref_table!Q112</f>
        <v>0</v>
      </c>
    </row>
    <row r="7" spans="1:17" ht="15">
      <c r="A7" s="75" t="str">
        <f>Ref_table!A113</f>
        <v>c11</v>
      </c>
      <c r="B7" s="989" t="str">
        <f>Ref_table!B113</f>
        <v>Aquifers </v>
      </c>
      <c r="C7" s="10">
        <f>Ref_table!C113</f>
        <v>1373346.1012571373</v>
      </c>
      <c r="D7" s="10">
        <f>Ref_table!D113</f>
        <v>2957501.505187397</v>
      </c>
      <c r="E7" s="10">
        <f>Ref_table!E113</f>
        <v>2321985.219490099</v>
      </c>
      <c r="F7" s="10">
        <f>Ref_table!F113</f>
        <v>2671081.021786406</v>
      </c>
      <c r="G7" s="10">
        <f>Ref_table!G113</f>
        <v>1699008.3170908478</v>
      </c>
      <c r="H7" s="10">
        <f>Ref_table!H113</f>
        <v>5977085.394935807</v>
      </c>
      <c r="I7" s="132">
        <f>Ref_table!I113</f>
        <v>17000007.559747696</v>
      </c>
      <c r="J7" s="51">
        <f>Ref_table!J113</f>
        <v>17000007.559747696</v>
      </c>
      <c r="K7" s="172">
        <f>Ref_table!K113</f>
        <v>17000007.559747696</v>
      </c>
      <c r="L7" s="303">
        <f>Ref_table!L113</f>
        <v>0</v>
      </c>
      <c r="M7" s="303">
        <f>Ref_table!M113</f>
        <v>0</v>
      </c>
      <c r="N7" s="303">
        <f>Ref_table!N113</f>
        <v>0</v>
      </c>
      <c r="O7" s="304">
        <f>Ref_table!O113</f>
        <v>0</v>
      </c>
      <c r="P7" s="391">
        <f>Ref_table!P113</f>
        <v>0</v>
      </c>
      <c r="Q7" s="373">
        <f>Ref_table!Q113</f>
        <v>0</v>
      </c>
    </row>
    <row r="8" spans="1:17" ht="15">
      <c r="A8" s="146" t="str">
        <f>Ref_table!A114</f>
        <v>c111</v>
      </c>
      <c r="B8" s="147" t="str">
        <f>Ref_table!B114</f>
        <v>of which aquifers accessible water stock</v>
      </c>
      <c r="C8" s="143">
        <f>Ref_table!C114</f>
        <v>13733.461012571373</v>
      </c>
      <c r="D8" s="143">
        <f>Ref_table!D114</f>
        <v>59150.03010374794</v>
      </c>
      <c r="E8" s="143">
        <f>Ref_table!E114</f>
        <v>46439.704389801984</v>
      </c>
      <c r="F8" s="143">
        <f>Ref_table!F114</f>
        <v>53421.620435728124</v>
      </c>
      <c r="G8" s="143">
        <f>Ref_table!G114</f>
        <v>8495.041585454239</v>
      </c>
      <c r="H8" s="143">
        <f>Ref_table!H114</f>
        <v>119541.70789871615</v>
      </c>
      <c r="I8" s="249">
        <f>Ref_table!I114</f>
        <v>300781.56542601984</v>
      </c>
      <c r="J8" s="132">
        <f>Ref_table!J114</f>
        <v>300781.56542601984</v>
      </c>
      <c r="K8" s="186">
        <f>Ref_table!K114</f>
        <v>300781.56542601984</v>
      </c>
      <c r="L8" s="305">
        <f>Ref_table!L114</f>
        <v>0</v>
      </c>
      <c r="M8" s="305">
        <f>Ref_table!M114</f>
        <v>0</v>
      </c>
      <c r="N8" s="305">
        <f>Ref_table!N114</f>
        <v>0</v>
      </c>
      <c r="O8" s="306">
        <f>Ref_table!O114</f>
        <v>0</v>
      </c>
      <c r="P8" s="514">
        <f>Ref_table!P114</f>
        <v>0</v>
      </c>
      <c r="Q8" s="368">
        <f>Ref_table!Q114</f>
        <v>0</v>
      </c>
    </row>
    <row r="9" spans="1:17" ht="15">
      <c r="A9" s="75" t="str">
        <f>Ref_table!A115</f>
        <v>c12</v>
      </c>
      <c r="B9" s="989" t="str">
        <f>Ref_table!B115</f>
        <v>Soil water</v>
      </c>
      <c r="C9" s="10">
        <f>Ref_table!C115</f>
        <v>1373.3461012571372</v>
      </c>
      <c r="D9" s="10">
        <f>Ref_table!D115</f>
        <v>4436.252257781095</v>
      </c>
      <c r="E9" s="10">
        <f>Ref_table!E115</f>
        <v>3482.977829235149</v>
      </c>
      <c r="F9" s="10">
        <f>Ref_table!F115</f>
        <v>4006.621532679609</v>
      </c>
      <c r="G9" s="10">
        <f>Ref_table!G115</f>
        <v>2548.5124756362716</v>
      </c>
      <c r="H9" s="10">
        <f>Ref_table!H115</f>
        <v>8965.628092403711</v>
      </c>
      <c r="I9" s="132">
        <f>Ref_table!I115</f>
        <v>24813.33828899297</v>
      </c>
      <c r="J9" s="51">
        <f>Ref_table!J115</f>
        <v>24813.33828899297</v>
      </c>
      <c r="K9" s="172">
        <f>Ref_table!K115</f>
        <v>24813.33828899297</v>
      </c>
      <c r="L9" s="303">
        <f>Ref_table!L115</f>
        <v>0</v>
      </c>
      <c r="M9" s="303">
        <f>Ref_table!M115</f>
        <v>0</v>
      </c>
      <c r="N9" s="303">
        <f>Ref_table!N115</f>
        <v>0</v>
      </c>
      <c r="O9" s="304">
        <f>Ref_table!O115</f>
        <v>0</v>
      </c>
      <c r="P9" s="391">
        <f>Ref_table!P115</f>
        <v>0</v>
      </c>
      <c r="Q9" s="373">
        <f>Ref_table!Q115</f>
        <v>0</v>
      </c>
    </row>
    <row r="10" spans="1:17" ht="15">
      <c r="A10" s="146" t="str">
        <f>Ref_table!A116</f>
        <v>c121</v>
      </c>
      <c r="B10" s="147" t="str">
        <f>Ref_table!B116</f>
        <v>of which soil accessible water stock</v>
      </c>
      <c r="C10" s="39">
        <f>Ref_table!C116</f>
        <v>0.01</v>
      </c>
      <c r="D10" s="39">
        <f>Ref_table!D116</f>
        <v>0.01</v>
      </c>
      <c r="E10" s="39">
        <f>Ref_table!E116</f>
        <v>0.01</v>
      </c>
      <c r="F10" s="39">
        <f>Ref_table!F116</f>
        <v>0.01</v>
      </c>
      <c r="G10" s="39">
        <f>Ref_table!G116</f>
        <v>0.01</v>
      </c>
      <c r="H10" s="39">
        <f>Ref_table!H116</f>
        <v>0.01</v>
      </c>
      <c r="I10" s="269">
        <f>Ref_table!I116</f>
        <v>0.060000000000000005</v>
      </c>
      <c r="J10" s="39">
        <f>Ref_table!J116</f>
        <v>0</v>
      </c>
      <c r="K10" s="187">
        <f>Ref_table!K116</f>
        <v>0.060000000000000005</v>
      </c>
      <c r="L10" s="305">
        <f>Ref_table!L116</f>
        <v>0</v>
      </c>
      <c r="M10" s="305">
        <f>Ref_table!M116</f>
        <v>0</v>
      </c>
      <c r="N10" s="305">
        <f>Ref_table!N116</f>
        <v>0</v>
      </c>
      <c r="O10" s="306">
        <f>Ref_table!O116</f>
        <v>0</v>
      </c>
      <c r="P10" s="514">
        <f>Ref_table!P116</f>
        <v>0</v>
      </c>
      <c r="Q10" s="368">
        <f>Ref_table!Q116</f>
        <v>0</v>
      </c>
    </row>
    <row r="11" spans="1:17" ht="15">
      <c r="A11" s="75" t="str">
        <f>Ref_table!A117</f>
        <v>c13</v>
      </c>
      <c r="B11" s="989" t="str">
        <f>Ref_table!B117</f>
        <v>Rivers </v>
      </c>
      <c r="C11" s="10">
        <f>Ref_table!C117</f>
        <v>4069.517783683101</v>
      </c>
      <c r="D11" s="10">
        <f>Ref_table!D117</f>
        <v>8763.708550679588</v>
      </c>
      <c r="E11" s="10">
        <f>Ref_table!E117</f>
        <v>6880.538078139579</v>
      </c>
      <c r="F11" s="10">
        <f>Ref_table!F117</f>
        <v>7914.98349168355</v>
      </c>
      <c r="G11" s="10">
        <f>Ref_table!G117</f>
        <v>5034.52447616636</v>
      </c>
      <c r="H11" s="10">
        <f>Ref_table!H117</f>
        <v>17711.380464850165</v>
      </c>
      <c r="I11" s="132">
        <f>Ref_table!I117</f>
        <v>50374.65284520234</v>
      </c>
      <c r="J11" s="51">
        <f>Ref_table!J117</f>
        <v>50374.65284520234</v>
      </c>
      <c r="K11" s="172">
        <f>Ref_table!K117</f>
        <v>50374.65284520234</v>
      </c>
      <c r="L11" s="303">
        <f>Ref_table!L117</f>
        <v>0</v>
      </c>
      <c r="M11" s="303">
        <f>Ref_table!M117</f>
        <v>0</v>
      </c>
      <c r="N11" s="303">
        <f>Ref_table!N117</f>
        <v>0</v>
      </c>
      <c r="O11" s="304">
        <f>Ref_table!O117</f>
        <v>0</v>
      </c>
      <c r="P11" s="391">
        <f>Ref_table!P117</f>
        <v>0</v>
      </c>
      <c r="Q11" s="373">
        <f>Ref_table!Q117</f>
        <v>0</v>
      </c>
    </row>
    <row r="12" spans="1:17" ht="15">
      <c r="A12" s="146" t="str">
        <f>Ref_table!A118</f>
        <v>c131</v>
      </c>
      <c r="B12" s="147" t="str">
        <f>Ref_table!B118</f>
        <v>of which rivers accessible water stock</v>
      </c>
      <c r="C12" s="39">
        <f>Ref_table!C118</f>
        <v>0.01</v>
      </c>
      <c r="D12" s="39">
        <f>Ref_table!D118</f>
        <v>0.01</v>
      </c>
      <c r="E12" s="39">
        <f>Ref_table!E118</f>
        <v>0.01</v>
      </c>
      <c r="F12" s="39">
        <f>Ref_table!F118</f>
        <v>0.01</v>
      </c>
      <c r="G12" s="39">
        <f>Ref_table!G118</f>
        <v>0.01</v>
      </c>
      <c r="H12" s="39">
        <f>Ref_table!H118</f>
        <v>0.01</v>
      </c>
      <c r="I12" s="269">
        <f>Ref_table!I118</f>
        <v>0.060000000000000005</v>
      </c>
      <c r="J12" s="39">
        <f>Ref_table!J118</f>
        <v>0.060000000000000005</v>
      </c>
      <c r="K12" s="187">
        <f>Ref_table!K118</f>
        <v>0.060000000000000005</v>
      </c>
      <c r="L12" s="305">
        <f>Ref_table!L118</f>
        <v>0</v>
      </c>
      <c r="M12" s="305">
        <f>Ref_table!M118</f>
        <v>0</v>
      </c>
      <c r="N12" s="305">
        <f>Ref_table!N118</f>
        <v>0</v>
      </c>
      <c r="O12" s="306">
        <f>Ref_table!O118</f>
        <v>0</v>
      </c>
      <c r="P12" s="514">
        <f>Ref_table!P118</f>
        <v>0</v>
      </c>
      <c r="Q12" s="368">
        <f>Ref_table!Q118</f>
        <v>0</v>
      </c>
    </row>
    <row r="13" spans="1:17" ht="15">
      <c r="A13" s="75" t="str">
        <f>Ref_table!A119</f>
        <v>c14</v>
      </c>
      <c r="B13" s="989" t="str">
        <f>Ref_table!B119</f>
        <v>Lakes and dams </v>
      </c>
      <c r="C13" s="10">
        <f>Ref_table!C119</f>
        <v>12208.553351049302</v>
      </c>
      <c r="D13" s="10">
        <f>Ref_table!D119</f>
        <v>26291.125652038765</v>
      </c>
      <c r="E13" s="10">
        <f>Ref_table!E119</f>
        <v>20641.614234418736</v>
      </c>
      <c r="F13" s="10">
        <f>Ref_table!F119</f>
        <v>23744.95047505065</v>
      </c>
      <c r="G13" s="10">
        <f>Ref_table!G119</f>
        <v>15103.57342849908</v>
      </c>
      <c r="H13" s="10">
        <f>Ref_table!H119</f>
        <v>53134.14139455049</v>
      </c>
      <c r="I13" s="132">
        <f>Ref_table!I119</f>
        <v>151123.95853560703</v>
      </c>
      <c r="J13" s="51">
        <f>Ref_table!J119</f>
        <v>151123.95853560703</v>
      </c>
      <c r="K13" s="172">
        <f>Ref_table!K119</f>
        <v>151123.95853560703</v>
      </c>
      <c r="L13" s="303">
        <f>Ref_table!L119</f>
        <v>0</v>
      </c>
      <c r="M13" s="303">
        <f>Ref_table!M119</f>
        <v>0</v>
      </c>
      <c r="N13" s="303">
        <f>Ref_table!N119</f>
        <v>0</v>
      </c>
      <c r="O13" s="304">
        <f>Ref_table!O119</f>
        <v>0</v>
      </c>
      <c r="P13" s="391">
        <f>Ref_table!P119</f>
        <v>0</v>
      </c>
      <c r="Q13" s="373">
        <f>Ref_table!Q119</f>
        <v>0</v>
      </c>
    </row>
    <row r="14" spans="1:17" ht="15">
      <c r="A14" s="146" t="str">
        <f>Ref_table!A120</f>
        <v>c141</v>
      </c>
      <c r="B14" s="147" t="str">
        <f>Ref_table!B120</f>
        <v>of which lakes and dams accessible water stock</v>
      </c>
      <c r="C14" s="143">
        <f>Ref_table!C120</f>
        <v>1220.8553351049302</v>
      </c>
      <c r="D14" s="143">
        <f>Ref_table!D120</f>
        <v>2629.112565203877</v>
      </c>
      <c r="E14" s="143">
        <f>Ref_table!E120</f>
        <v>2064.1614234418735</v>
      </c>
      <c r="F14" s="143">
        <f>Ref_table!F120</f>
        <v>2374.495047505065</v>
      </c>
      <c r="G14" s="143">
        <f>Ref_table!G120</f>
        <v>1510.357342849908</v>
      </c>
      <c r="H14" s="143">
        <f>Ref_table!H120</f>
        <v>5313.41413945505</v>
      </c>
      <c r="I14" s="249">
        <f>Ref_table!I120</f>
        <v>15112.395853560702</v>
      </c>
      <c r="J14" s="143">
        <f>Ref_table!J120</f>
        <v>15112.395853560702</v>
      </c>
      <c r="K14" s="186">
        <f>Ref_table!K120</f>
        <v>15112.395853560702</v>
      </c>
      <c r="L14" s="305">
        <f>Ref_table!L120</f>
        <v>0</v>
      </c>
      <c r="M14" s="305">
        <f>Ref_table!M120</f>
        <v>0</v>
      </c>
      <c r="N14" s="305">
        <f>Ref_table!N120</f>
        <v>0</v>
      </c>
      <c r="O14" s="313">
        <f>Ref_table!O120</f>
        <v>0</v>
      </c>
      <c r="P14" s="393">
        <f>Ref_table!P120</f>
        <v>0</v>
      </c>
      <c r="Q14" s="368">
        <f>Ref_table!Q120</f>
        <v>0</v>
      </c>
    </row>
    <row r="15" spans="1:17" ht="15">
      <c r="A15" s="203">
        <f>Ref_table!A121</f>
        <v>0</v>
      </c>
      <c r="B15" s="13">
        <f>Ref_table!B121</f>
        <v>0</v>
      </c>
      <c r="C15" s="13">
        <f>Ref_table!C121</f>
        <v>0</v>
      </c>
      <c r="D15" s="13">
        <f>Ref_table!D121</f>
        <v>0</v>
      </c>
      <c r="E15" s="13">
        <f>Ref_table!E121</f>
        <v>0</v>
      </c>
      <c r="F15" s="13">
        <f>Ref_table!F121</f>
        <v>0</v>
      </c>
      <c r="G15" s="13">
        <f>Ref_table!G121</f>
        <v>0</v>
      </c>
      <c r="H15" s="13">
        <f>Ref_table!H121</f>
        <v>0</v>
      </c>
      <c r="I15" s="15">
        <f>Ref_table!I121</f>
        <v>0</v>
      </c>
      <c r="J15" s="13">
        <f>Ref_table!J121</f>
        <v>0</v>
      </c>
      <c r="K15" s="89">
        <f>Ref_table!K121</f>
        <v>0</v>
      </c>
      <c r="L15" s="204">
        <f>Ref_table!L121</f>
        <v>0</v>
      </c>
      <c r="M15" s="204">
        <f>Ref_table!M121</f>
        <v>0</v>
      </c>
      <c r="N15" s="204">
        <f>Ref_table!N121</f>
        <v>0</v>
      </c>
      <c r="O15" s="26">
        <f>Ref_table!O121</f>
        <v>0</v>
      </c>
      <c r="P15" s="372">
        <f>Ref_table!P121</f>
        <v>0</v>
      </c>
      <c r="Q15" s="367">
        <f>Ref_table!Q121</f>
        <v>0</v>
      </c>
    </row>
    <row r="16" spans="1:17" ht="15">
      <c r="A16" s="75" t="str">
        <f>Ref_table!A122</f>
        <v>C2</v>
      </c>
      <c r="B16" s="31" t="str">
        <f>Ref_table!B122</f>
        <v>Water stock t10 (~ 2005) 10^6 m^3</v>
      </c>
      <c r="C16" s="9">
        <f>Ref_table!C122</f>
        <v>1339097.4574995032</v>
      </c>
      <c r="D16" s="9">
        <f>Ref_table!D122</f>
        <v>2885153.954428716</v>
      </c>
      <c r="E16" s="9">
        <f>Ref_table!E122</f>
        <v>2265183.91499936</v>
      </c>
      <c r="F16" s="9">
        <f>Ref_table!F122</f>
        <v>2605740.0001621423</v>
      </c>
      <c r="G16" s="9">
        <f>Ref_table!G122</f>
        <v>1657446.5156024788</v>
      </c>
      <c r="H16" s="9">
        <f>Ref_table!H122</f>
        <v>5830871.610009369</v>
      </c>
      <c r="I16" s="132">
        <f>Ref_table!I122</f>
        <v>16583493.452701572</v>
      </c>
      <c r="J16" s="240">
        <f>Ref_table!J122</f>
        <v>16583493.452701572</v>
      </c>
      <c r="K16" s="172">
        <f>Ref_table!K122</f>
        <v>16583493.452701572</v>
      </c>
      <c r="L16" s="301">
        <f>Ref_table!L122</f>
        <v>0</v>
      </c>
      <c r="M16" s="301">
        <f>Ref_table!M122</f>
        <v>0</v>
      </c>
      <c r="N16" s="301">
        <f>Ref_table!N122</f>
        <v>0</v>
      </c>
      <c r="O16" s="302">
        <f>Ref_table!O122</f>
        <v>0</v>
      </c>
      <c r="P16" s="388">
        <f>Ref_table!P122</f>
        <v>0</v>
      </c>
      <c r="Q16" s="374">
        <f>Ref_table!Q122</f>
        <v>0</v>
      </c>
    </row>
    <row r="17" spans="1:17" ht="15">
      <c r="A17" s="75" t="str">
        <f>Ref_table!A123</f>
        <v>c21</v>
      </c>
      <c r="B17" s="989" t="str">
        <f>Ref_table!B123</f>
        <v>Aquifers </v>
      </c>
      <c r="C17" s="10">
        <f>Ref_table!C123</f>
        <v>1321447.6425684704</v>
      </c>
      <c r="D17" s="10">
        <f>Ref_table!D123</f>
        <v>2847142.9620655016</v>
      </c>
      <c r="E17" s="10">
        <f>Ref_table!E123</f>
        <v>2235340.8321502977</v>
      </c>
      <c r="F17" s="10">
        <f>Ref_table!F123</f>
        <v>2571410.1984215286</v>
      </c>
      <c r="G17" s="10">
        <f>Ref_table!G123</f>
        <v>1635610.181097592</v>
      </c>
      <c r="H17" s="10">
        <f>Ref_table!H123</f>
        <v>5754051.717643231</v>
      </c>
      <c r="I17" s="132">
        <f>Ref_table!I123</f>
        <v>16365003.53394662</v>
      </c>
      <c r="J17" s="51">
        <f>Ref_table!J123</f>
        <v>16365003.53394662</v>
      </c>
      <c r="K17" s="172">
        <f>Ref_table!K123</f>
        <v>16365003.53394662</v>
      </c>
      <c r="L17" s="303">
        <f>Ref_table!L123</f>
        <v>0</v>
      </c>
      <c r="M17" s="303">
        <f>Ref_table!M123</f>
        <v>0</v>
      </c>
      <c r="N17" s="303">
        <f>Ref_table!N123</f>
        <v>0</v>
      </c>
      <c r="O17" s="304">
        <f>Ref_table!O123</f>
        <v>0</v>
      </c>
      <c r="P17" s="391">
        <f>Ref_table!P123</f>
        <v>0</v>
      </c>
      <c r="Q17" s="373">
        <f>Ref_table!Q123</f>
        <v>0</v>
      </c>
    </row>
    <row r="18" spans="1:17" ht="15">
      <c r="A18" s="146" t="str">
        <f>Ref_table!A124</f>
        <v>c211</v>
      </c>
      <c r="B18" s="147" t="str">
        <f>Ref_table!B124</f>
        <v>of which aquifers accessible water stock</v>
      </c>
      <c r="C18" s="143">
        <f>Ref_table!C124</f>
        <v>13214.476425684705</v>
      </c>
      <c r="D18" s="143">
        <f>Ref_table!D124</f>
        <v>56942.859241310034</v>
      </c>
      <c r="E18" s="143">
        <f>Ref_table!E124</f>
        <v>44706.81664300596</v>
      </c>
      <c r="F18" s="143">
        <f>Ref_table!F124</f>
        <v>51428.20396843057</v>
      </c>
      <c r="G18" s="143">
        <f>Ref_table!G124</f>
        <v>8178.05090548796</v>
      </c>
      <c r="H18" s="143">
        <f>Ref_table!H124</f>
        <v>115081.03435286462</v>
      </c>
      <c r="I18" s="249">
        <f>Ref_table!I124</f>
        <v>289551.4415367839</v>
      </c>
      <c r="J18" s="132">
        <f>Ref_table!J124</f>
        <v>289551.4415367839</v>
      </c>
      <c r="K18" s="186">
        <f>Ref_table!K124</f>
        <v>289551.4415367839</v>
      </c>
      <c r="L18" s="305">
        <f>Ref_table!L124</f>
        <v>0</v>
      </c>
      <c r="M18" s="305">
        <f>Ref_table!M124</f>
        <v>0</v>
      </c>
      <c r="N18" s="305">
        <f>Ref_table!N124</f>
        <v>0</v>
      </c>
      <c r="O18" s="306">
        <f>Ref_table!O124</f>
        <v>0</v>
      </c>
      <c r="P18" s="514">
        <f>Ref_table!P124</f>
        <v>0</v>
      </c>
      <c r="Q18" s="368">
        <f>Ref_table!Q124</f>
        <v>0</v>
      </c>
    </row>
    <row r="19" spans="1:17" ht="15">
      <c r="A19" s="75" t="str">
        <f>Ref_table!A125</f>
        <v>c22</v>
      </c>
      <c r="B19" s="989" t="str">
        <f>Ref_table!B125</f>
        <v>Soil water</v>
      </c>
      <c r="C19" s="10">
        <f>Ref_table!C125</f>
        <v>1982.1714638527058</v>
      </c>
      <c r="D19" s="10">
        <f>Ref_table!D125</f>
        <v>4270.714443098253</v>
      </c>
      <c r="E19" s="10">
        <f>Ref_table!E125</f>
        <v>3353.0112482254467</v>
      </c>
      <c r="F19" s="10">
        <f>Ref_table!F125</f>
        <v>3857.115297632293</v>
      </c>
      <c r="G19" s="10">
        <f>Ref_table!G125</f>
        <v>2453.415271646388</v>
      </c>
      <c r="H19" s="10">
        <f>Ref_table!H125</f>
        <v>8631.077576464846</v>
      </c>
      <c r="I19" s="132">
        <f>Ref_table!I125</f>
        <v>24547.505300919933</v>
      </c>
      <c r="J19" s="51">
        <f>Ref_table!J125</f>
        <v>24547.505300919933</v>
      </c>
      <c r="K19" s="172">
        <f>Ref_table!K125</f>
        <v>24547.505300919933</v>
      </c>
      <c r="L19" s="303">
        <f>Ref_table!L125</f>
        <v>0</v>
      </c>
      <c r="M19" s="303">
        <f>Ref_table!M125</f>
        <v>0</v>
      </c>
      <c r="N19" s="303">
        <f>Ref_table!N125</f>
        <v>0</v>
      </c>
      <c r="O19" s="304">
        <f>Ref_table!O125</f>
        <v>0</v>
      </c>
      <c r="P19" s="391">
        <f>Ref_table!P125</f>
        <v>0</v>
      </c>
      <c r="Q19" s="373">
        <f>Ref_table!Q125</f>
        <v>0</v>
      </c>
    </row>
    <row r="20" spans="1:17" ht="15">
      <c r="A20" s="146" t="str">
        <f>Ref_table!A126</f>
        <v>c221</v>
      </c>
      <c r="B20" s="147" t="str">
        <f>Ref_table!B126</f>
        <v>of which soil accessible water stock</v>
      </c>
      <c r="C20" s="39">
        <f>Ref_table!C126</f>
        <v>0.01</v>
      </c>
      <c r="D20" s="39">
        <f>Ref_table!D126</f>
        <v>0.01</v>
      </c>
      <c r="E20" s="39">
        <f>Ref_table!E126</f>
        <v>0.01</v>
      </c>
      <c r="F20" s="39">
        <f>Ref_table!F126</f>
        <v>0.01</v>
      </c>
      <c r="G20" s="39">
        <f>Ref_table!G126</f>
        <v>0.01</v>
      </c>
      <c r="H20" s="39">
        <f>Ref_table!H126</f>
        <v>0.01</v>
      </c>
      <c r="I20" s="269">
        <f>Ref_table!I126</f>
        <v>0.060000000000000005</v>
      </c>
      <c r="J20" s="39">
        <f>Ref_table!J126</f>
        <v>0</v>
      </c>
      <c r="K20" s="187">
        <f>Ref_table!K126</f>
        <v>0.060000000000000005</v>
      </c>
      <c r="L20" s="305">
        <f>Ref_table!L126</f>
        <v>0</v>
      </c>
      <c r="M20" s="305">
        <f>Ref_table!M126</f>
        <v>0</v>
      </c>
      <c r="N20" s="305">
        <f>Ref_table!N126</f>
        <v>0</v>
      </c>
      <c r="O20" s="306">
        <f>Ref_table!O126</f>
        <v>0</v>
      </c>
      <c r="P20" s="514">
        <f>Ref_table!P126</f>
        <v>0</v>
      </c>
      <c r="Q20" s="368">
        <f>Ref_table!Q126</f>
        <v>0</v>
      </c>
    </row>
    <row r="21" spans="1:17" ht="15">
      <c r="A21" s="75" t="str">
        <f>Ref_table!A127</f>
        <v>c23</v>
      </c>
      <c r="B21" s="989" t="str">
        <f>Ref_table!B127</f>
        <v>Rivers </v>
      </c>
      <c r="C21" s="10">
        <f>Ref_table!C127</f>
        <v>4069.517783683101</v>
      </c>
      <c r="D21" s="10">
        <f>Ref_table!D127</f>
        <v>8763.708550679588</v>
      </c>
      <c r="E21" s="10">
        <f>Ref_table!E127</f>
        <v>6880.538078139579</v>
      </c>
      <c r="F21" s="10">
        <f>Ref_table!F127</f>
        <v>7914.98349168355</v>
      </c>
      <c r="G21" s="10">
        <f>Ref_table!G127</f>
        <v>5034.52447616636</v>
      </c>
      <c r="H21" s="10">
        <f>Ref_table!H127</f>
        <v>17711.380464850165</v>
      </c>
      <c r="I21" s="132">
        <f>Ref_table!I127</f>
        <v>50374.65284520234</v>
      </c>
      <c r="J21" s="51">
        <f>Ref_table!J127</f>
        <v>50374.65284520234</v>
      </c>
      <c r="K21" s="172">
        <f>Ref_table!K127</f>
        <v>50374.65284520234</v>
      </c>
      <c r="L21" s="303">
        <f>Ref_table!L127</f>
        <v>0</v>
      </c>
      <c r="M21" s="303">
        <f>Ref_table!M127</f>
        <v>0</v>
      </c>
      <c r="N21" s="303">
        <f>Ref_table!N127</f>
        <v>0</v>
      </c>
      <c r="O21" s="304">
        <f>Ref_table!O127</f>
        <v>0</v>
      </c>
      <c r="P21" s="391">
        <f>Ref_table!P127</f>
        <v>0</v>
      </c>
      <c r="Q21" s="373">
        <f>Ref_table!Q127</f>
        <v>0</v>
      </c>
    </row>
    <row r="22" spans="1:17" ht="15">
      <c r="A22" s="146" t="str">
        <f>Ref_table!A128</f>
        <v>c231</v>
      </c>
      <c r="B22" s="147" t="str">
        <f>Ref_table!B128</f>
        <v>of which rivers accessible water stock</v>
      </c>
      <c r="C22" s="39">
        <f>Ref_table!C128</f>
        <v>0.01</v>
      </c>
      <c r="D22" s="39">
        <f>Ref_table!D128</f>
        <v>0.01</v>
      </c>
      <c r="E22" s="39">
        <f>Ref_table!E128</f>
        <v>0.01</v>
      </c>
      <c r="F22" s="39">
        <f>Ref_table!F128</f>
        <v>0.01</v>
      </c>
      <c r="G22" s="39">
        <f>Ref_table!G128</f>
        <v>0.01</v>
      </c>
      <c r="H22" s="39">
        <f>Ref_table!H128</f>
        <v>0.01</v>
      </c>
      <c r="I22" s="269">
        <f>Ref_table!I128</f>
        <v>0.060000000000000005</v>
      </c>
      <c r="J22" s="39">
        <f>Ref_table!J128</f>
        <v>0.060000000000000005</v>
      </c>
      <c r="K22" s="187">
        <f>Ref_table!K128</f>
        <v>0.060000000000000005</v>
      </c>
      <c r="L22" s="305">
        <f>Ref_table!L128</f>
        <v>0</v>
      </c>
      <c r="M22" s="305">
        <f>Ref_table!M128</f>
        <v>0</v>
      </c>
      <c r="N22" s="305">
        <f>Ref_table!N128</f>
        <v>0</v>
      </c>
      <c r="O22" s="306">
        <f>Ref_table!O128</f>
        <v>0</v>
      </c>
      <c r="P22" s="514">
        <f>Ref_table!P128</f>
        <v>0</v>
      </c>
      <c r="Q22" s="368">
        <f>Ref_table!Q128</f>
        <v>0</v>
      </c>
    </row>
    <row r="23" spans="1:17" ht="15">
      <c r="A23" s="75" t="str">
        <f>Ref_table!A129</f>
        <v>c24</v>
      </c>
      <c r="B23" s="989" t="str">
        <f>Ref_table!B129</f>
        <v>Lakes and dams </v>
      </c>
      <c r="C23" s="10">
        <f>Ref_table!C129</f>
        <v>11598.125683496837</v>
      </c>
      <c r="D23" s="10">
        <f>Ref_table!D129</f>
        <v>24976.569369436827</v>
      </c>
      <c r="E23" s="10">
        <f>Ref_table!E129</f>
        <v>19609.5335226978</v>
      </c>
      <c r="F23" s="10">
        <f>Ref_table!F129</f>
        <v>22557.702951298117</v>
      </c>
      <c r="G23" s="10">
        <f>Ref_table!G129</f>
        <v>14348.394757074126</v>
      </c>
      <c r="H23" s="10">
        <f>Ref_table!H129</f>
        <v>50477.43432482296</v>
      </c>
      <c r="I23" s="132">
        <f>Ref_table!I129</f>
        <v>143567.76060882668</v>
      </c>
      <c r="J23" s="51">
        <f>Ref_table!J129</f>
        <v>143567.76060882668</v>
      </c>
      <c r="K23" s="172">
        <f>Ref_table!K129</f>
        <v>143567.76060882668</v>
      </c>
      <c r="L23" s="303">
        <f>Ref_table!L129</f>
        <v>0</v>
      </c>
      <c r="M23" s="303">
        <f>Ref_table!M129</f>
        <v>0</v>
      </c>
      <c r="N23" s="303">
        <f>Ref_table!N129</f>
        <v>0</v>
      </c>
      <c r="O23" s="304">
        <f>Ref_table!O129</f>
        <v>0</v>
      </c>
      <c r="P23" s="391">
        <f>Ref_table!P129</f>
        <v>0</v>
      </c>
      <c r="Q23" s="373">
        <f>Ref_table!Q129</f>
        <v>0</v>
      </c>
    </row>
    <row r="24" spans="1:17" ht="15.75" thickBot="1">
      <c r="A24" s="148" t="str">
        <f>Ref_table!A130</f>
        <v>c241</v>
      </c>
      <c r="B24" s="149" t="str">
        <f>Ref_table!B130</f>
        <v>of which lakes and dams accessible water stock</v>
      </c>
      <c r="C24" s="144">
        <f>Ref_table!C130</f>
        <v>1159.8125683496837</v>
      </c>
      <c r="D24" s="144">
        <f>Ref_table!D130</f>
        <v>2497.656936943683</v>
      </c>
      <c r="E24" s="144">
        <f>Ref_table!E130</f>
        <v>1960.95335226978</v>
      </c>
      <c r="F24" s="144">
        <f>Ref_table!F130</f>
        <v>2255.770295129812</v>
      </c>
      <c r="G24" s="144">
        <f>Ref_table!G130</f>
        <v>1434.8394757074127</v>
      </c>
      <c r="H24" s="144">
        <f>Ref_table!H130</f>
        <v>5047.743432482297</v>
      </c>
      <c r="I24" s="252">
        <f>Ref_table!I130</f>
        <v>14356.776060882668</v>
      </c>
      <c r="J24" s="144">
        <f>Ref_table!J130</f>
        <v>14356.776060882668</v>
      </c>
      <c r="K24" s="182">
        <f>Ref_table!K130</f>
        <v>14356.776060882668</v>
      </c>
      <c r="L24" s="346">
        <f>Ref_table!L130</f>
        <v>0</v>
      </c>
      <c r="M24" s="346">
        <f>Ref_table!M130</f>
        <v>0</v>
      </c>
      <c r="N24" s="346">
        <f>Ref_table!N130</f>
        <v>0</v>
      </c>
      <c r="O24" s="513">
        <f>Ref_table!O130</f>
        <v>0</v>
      </c>
      <c r="P24" s="510">
        <f>Ref_table!P130</f>
        <v>0</v>
      </c>
      <c r="Q24" s="369">
        <f>Ref_table!Q130</f>
        <v>0</v>
      </c>
    </row>
    <row r="25" spans="1:17" ht="15.75">
      <c r="A25" s="1062" t="str">
        <f>Ref_table!A131</f>
        <v>C3 (Mean) annual water flows account 10^6 m^3</v>
      </c>
      <c r="B25" s="1063">
        <f>Ref_table!B131</f>
        <v>0</v>
      </c>
      <c r="C25" s="1063">
        <f>Ref_table!C131</f>
        <v>0</v>
      </c>
      <c r="D25" s="1063">
        <f>Ref_table!D131</f>
        <v>0</v>
      </c>
      <c r="E25" s="1063">
        <f>Ref_table!E131</f>
        <v>0</v>
      </c>
      <c r="F25" s="1063">
        <f>Ref_table!F131</f>
        <v>0</v>
      </c>
      <c r="G25" s="1063">
        <f>Ref_table!G131</f>
        <v>0</v>
      </c>
      <c r="H25" s="1063">
        <f>Ref_table!H131</f>
        <v>0</v>
      </c>
      <c r="I25" s="1063">
        <f>Ref_table!I131</f>
        <v>0</v>
      </c>
      <c r="J25" s="1063">
        <f>Ref_table!J131</f>
        <v>0</v>
      </c>
      <c r="K25" s="1064">
        <f>Ref_table!K131</f>
        <v>0</v>
      </c>
      <c r="L25" s="375">
        <f>Ref_table!L131</f>
        <v>0</v>
      </c>
      <c r="M25" s="376">
        <f>Ref_table!M131</f>
        <v>0</v>
      </c>
      <c r="N25" s="376">
        <f>Ref_table!N131</f>
        <v>0</v>
      </c>
      <c r="O25" s="377">
        <f>Ref_table!O131</f>
        <v>0</v>
      </c>
      <c r="P25" s="378">
        <f>Ref_table!P131</f>
        <v>0</v>
      </c>
      <c r="Q25" s="379">
        <f>Ref_table!Q131</f>
        <v>0</v>
      </c>
    </row>
    <row r="26" spans="1:17" ht="15">
      <c r="A26" s="75" t="str">
        <f>Ref_table!A132</f>
        <v>c31</v>
      </c>
      <c r="B26" s="31" t="str">
        <f>Ref_table!B132</f>
        <v>Precipitation</v>
      </c>
      <c r="C26" s="4">
        <f>Ref_table!C132</f>
        <v>249234.5323578261</v>
      </c>
      <c r="D26" s="4">
        <f>Ref_table!D132</f>
        <v>536726.6881365217</v>
      </c>
      <c r="E26" s="4">
        <f>Ref_table!E132</f>
        <v>421393.33980826085</v>
      </c>
      <c r="F26" s="4">
        <f>Ref_table!F132</f>
        <v>484747.1651504347</v>
      </c>
      <c r="G26" s="4">
        <f>Ref_table!G132</f>
        <v>308335.6358565218</v>
      </c>
      <c r="H26" s="4">
        <f>Ref_table!H132</f>
        <v>1084720.0730434784</v>
      </c>
      <c r="I26" s="132">
        <f>Ref_table!I132</f>
        <v>3085157.4343530433</v>
      </c>
      <c r="J26" s="240">
        <f>Ref_table!J132</f>
        <v>3085157.4343530433</v>
      </c>
      <c r="K26" s="188">
        <f>Ref_table!K132</f>
        <v>3085157.4343530433</v>
      </c>
      <c r="L26" s="309">
        <f>Ref_table!L132</f>
        <v>0</v>
      </c>
      <c r="M26" s="309">
        <f>Ref_table!M132</f>
        <v>0</v>
      </c>
      <c r="N26" s="309">
        <f>Ref_table!N132</f>
        <v>0</v>
      </c>
      <c r="O26" s="310">
        <f>Ref_table!O132</f>
        <v>0</v>
      </c>
      <c r="P26" s="518">
        <f>Ref_table!P132</f>
        <v>0</v>
      </c>
      <c r="Q26" s="99">
        <f>Ref_table!Q132</f>
        <v>0</v>
      </c>
    </row>
    <row r="27" spans="1:17" ht="15">
      <c r="A27" s="985" t="str">
        <f>Ref_table!A133</f>
        <v>c32</v>
      </c>
      <c r="B27" s="287" t="str">
        <f>Ref_table!B133</f>
        <v>Spontaneous actual evapotranspiration</v>
      </c>
      <c r="C27" s="289">
        <f>Ref_table!C133</f>
        <v>176724.6935594689</v>
      </c>
      <c r="D27" s="289">
        <f>Ref_table!D133</f>
        <v>380576.7145859835</v>
      </c>
      <c r="E27" s="289">
        <f>Ref_table!E133</f>
        <v>298797.31408446474</v>
      </c>
      <c r="F27" s="289">
        <f>Ref_table!F133</f>
        <v>343720</v>
      </c>
      <c r="G27" s="289">
        <f>Ref_table!G133</f>
        <v>218631.50440957252</v>
      </c>
      <c r="H27" s="289">
        <f>Ref_table!H133</f>
        <v>769142.3042100533</v>
      </c>
      <c r="I27" s="132">
        <f>Ref_table!I133</f>
        <v>2187592.530849543</v>
      </c>
      <c r="J27" s="133">
        <f>Ref_table!J133</f>
        <v>2187592.530849543</v>
      </c>
      <c r="K27" s="188">
        <f>Ref_table!K133</f>
        <v>2187592.530849543</v>
      </c>
      <c r="L27" s="309">
        <f>Ref_table!L133</f>
        <v>0</v>
      </c>
      <c r="M27" s="309">
        <f>Ref_table!M133</f>
        <v>0</v>
      </c>
      <c r="N27" s="309">
        <f>Ref_table!N133</f>
        <v>0</v>
      </c>
      <c r="O27" s="310">
        <f>Ref_table!O133</f>
        <v>0</v>
      </c>
      <c r="P27" s="518">
        <f>Ref_table!P133</f>
        <v>0</v>
      </c>
      <c r="Q27" s="99">
        <f>Ref_table!Q133</f>
        <v>0</v>
      </c>
    </row>
    <row r="28" spans="1:17" ht="15">
      <c r="A28" s="77" t="str">
        <f>Ref_table!A134</f>
        <v>c32a</v>
      </c>
      <c r="B28" s="109" t="str">
        <f>Ref_table!B134</f>
        <v>of which actual evapotranspiration induced by rainfed cultivated vegetation</v>
      </c>
      <c r="C28" s="44">
        <f>Ref_table!C134</f>
        <v>70689.87742378756</v>
      </c>
      <c r="D28" s="44">
        <f>Ref_table!D134</f>
        <v>228346.0287515901</v>
      </c>
      <c r="E28" s="44">
        <f>Ref_table!E134</f>
        <v>149398.65704223237</v>
      </c>
      <c r="F28" s="44">
        <f>Ref_table!F134</f>
        <v>171860</v>
      </c>
      <c r="G28" s="44">
        <f>Ref_table!G134</f>
        <v>21863.15044095725</v>
      </c>
      <c r="H28" s="44">
        <f>Ref_table!H134</f>
        <v>384571.15210502665</v>
      </c>
      <c r="I28" s="900">
        <f>Ref_table!I134</f>
        <v>1026728.8657635939</v>
      </c>
      <c r="J28" s="44">
        <f>Ref_table!J134</f>
        <v>1093796.2654247715</v>
      </c>
      <c r="K28" s="868">
        <f>Ref_table!K134</f>
        <v>1026728.8657635939</v>
      </c>
      <c r="L28" s="305">
        <f>Ref_table!L134</f>
        <v>0</v>
      </c>
      <c r="M28" s="305">
        <f>Ref_table!M134</f>
        <v>0</v>
      </c>
      <c r="N28" s="305">
        <f>Ref_table!N134</f>
        <v>0</v>
      </c>
      <c r="O28" s="306">
        <f>Ref_table!O134</f>
        <v>0</v>
      </c>
      <c r="P28" s="514">
        <f>Ref_table!P134</f>
        <v>0</v>
      </c>
      <c r="Q28" s="368">
        <f>Ref_table!Q134</f>
        <v>0</v>
      </c>
    </row>
    <row r="29" spans="1:17" ht="15">
      <c r="A29" s="77" t="str">
        <f>Ref_table!A135</f>
        <v>c32b</v>
      </c>
      <c r="B29" s="109" t="str">
        <f>Ref_table!B135</f>
        <v>of which actual evapotranspiration induced by non-cultivated vegetation</v>
      </c>
      <c r="C29" s="44">
        <f>Ref_table!C135</f>
        <v>35344.93871189378</v>
      </c>
      <c r="D29" s="44">
        <f>Ref_table!D135</f>
        <v>38057.67145859835</v>
      </c>
      <c r="E29" s="44">
        <f>Ref_table!E135</f>
        <v>59759.46281689295</v>
      </c>
      <c r="F29" s="44">
        <f>Ref_table!F135</f>
        <v>68744</v>
      </c>
      <c r="G29" s="44">
        <f>Ref_table!G135</f>
        <v>65589.45132287176</v>
      </c>
      <c r="H29" s="44">
        <f>Ref_table!H135</f>
        <v>153828.46084201065</v>
      </c>
      <c r="I29" s="900">
        <f>Ref_table!I135</f>
        <v>421323.9851522675</v>
      </c>
      <c r="J29" s="44">
        <f>Ref_table!J135</f>
        <v>546898.1327123857</v>
      </c>
      <c r="K29" s="868">
        <f>Ref_table!K135</f>
        <v>421323.9851522675</v>
      </c>
      <c r="L29" s="305">
        <f>Ref_table!L135</f>
        <v>0</v>
      </c>
      <c r="M29" s="305">
        <f>Ref_table!M135</f>
        <v>0</v>
      </c>
      <c r="N29" s="305">
        <f>Ref_table!N135</f>
        <v>0</v>
      </c>
      <c r="O29" s="306">
        <f>Ref_table!O135</f>
        <v>0</v>
      </c>
      <c r="P29" s="514">
        <f>Ref_table!P135</f>
        <v>0</v>
      </c>
      <c r="Q29" s="368">
        <f>Ref_table!Q135</f>
        <v>0</v>
      </c>
    </row>
    <row r="30" spans="1:17" ht="15">
      <c r="A30" s="985" t="str">
        <f>Ref_table!A136</f>
        <v>c31-c32</v>
      </c>
      <c r="B30" s="1025" t="str">
        <f>Ref_table!B136</f>
        <v>s/t Total available effective rainfall (hydro)</v>
      </c>
      <c r="C30" s="133">
        <f>Ref_table!C136</f>
        <v>72509.8387983572</v>
      </c>
      <c r="D30" s="133">
        <f>Ref_table!D136</f>
        <v>156149.97355053824</v>
      </c>
      <c r="E30" s="133">
        <f>Ref_table!E136</f>
        <v>122596.0257237961</v>
      </c>
      <c r="F30" s="133">
        <f>Ref_table!F136</f>
        <v>141027.1651504347</v>
      </c>
      <c r="G30" s="133">
        <f>Ref_table!G136</f>
        <v>89704.13144694926</v>
      </c>
      <c r="H30" s="133">
        <f>Ref_table!H136</f>
        <v>315577.7688334251</v>
      </c>
      <c r="I30" s="133">
        <f>Ref_table!I136</f>
        <v>897564.9035035006</v>
      </c>
      <c r="J30" s="133">
        <f>Ref_table!J136</f>
        <v>897564.9035035004</v>
      </c>
      <c r="K30" s="563">
        <f>Ref_table!K136</f>
        <v>897564.9035035006</v>
      </c>
      <c r="L30" s="303">
        <f>Ref_table!L136</f>
        <v>0</v>
      </c>
      <c r="M30" s="303">
        <f>Ref_table!M136</f>
        <v>0</v>
      </c>
      <c r="N30" s="303">
        <f>Ref_table!N136</f>
        <v>0</v>
      </c>
      <c r="O30" s="304">
        <f>Ref_table!O136</f>
        <v>0</v>
      </c>
      <c r="P30" s="391">
        <f>Ref_table!P136</f>
        <v>0</v>
      </c>
      <c r="Q30" s="373">
        <f>Ref_table!Q136</f>
        <v>0</v>
      </c>
    </row>
    <row r="31" spans="1:17" ht="15">
      <c r="A31" s="75" t="str">
        <f>Ref_table!A137</f>
        <v>c33</v>
      </c>
      <c r="B31" s="989" t="str">
        <f>Ref_table!B137</f>
        <v>Net spontaneous internal and external transfers</v>
      </c>
      <c r="C31" s="43">
        <f>Ref_table!C137</f>
        <v>-5760</v>
      </c>
      <c r="D31" s="43">
        <f>Ref_table!D137</f>
        <v>29371</v>
      </c>
      <c r="E31" s="43">
        <f>Ref_table!E137</f>
        <v>8184</v>
      </c>
      <c r="F31" s="43">
        <f>Ref_table!F137</f>
        <v>-4939</v>
      </c>
      <c r="G31" s="43">
        <f>Ref_table!G137</f>
        <v>-17320.57096664142</v>
      </c>
      <c r="H31" s="43">
        <f>Ref_table!H137</f>
        <v>-9535</v>
      </c>
      <c r="I31" s="132">
        <f>Ref_table!I137</f>
        <v>0.42903335858136415</v>
      </c>
      <c r="J31" s="43">
        <f>Ref_table!J137</f>
        <v>-0.42903335858136415</v>
      </c>
      <c r="K31" s="188">
        <f>Ref_table!K137</f>
        <v>0.01</v>
      </c>
      <c r="L31" s="309">
        <f>Ref_table!L137</f>
        <v>0</v>
      </c>
      <c r="M31" s="309">
        <f>Ref_table!M137</f>
        <v>0</v>
      </c>
      <c r="N31" s="309">
        <f>Ref_table!N137</f>
        <v>0</v>
      </c>
      <c r="O31" s="310">
        <f>Ref_table!O137</f>
        <v>0</v>
      </c>
      <c r="P31" s="518">
        <f>Ref_table!P137</f>
        <v>0</v>
      </c>
      <c r="Q31" s="99">
        <f>Ref_table!Q137</f>
        <v>0</v>
      </c>
    </row>
    <row r="32" spans="1:17" ht="15">
      <c r="A32" s="985" t="str">
        <f>Ref_table!A138</f>
        <v>c34</v>
      </c>
      <c r="B32" s="1025" t="str">
        <f>Ref_table!B138</f>
        <v>s/t Total available effective rainfall after spontaneous transfers</v>
      </c>
      <c r="C32" s="133">
        <f>Ref_table!C138</f>
        <v>66749.8387983572</v>
      </c>
      <c r="D32" s="133">
        <f>Ref_table!D138</f>
        <v>185520.97355053824</v>
      </c>
      <c r="E32" s="133">
        <f>Ref_table!E138</f>
        <v>130780.0257237961</v>
      </c>
      <c r="F32" s="133">
        <f>Ref_table!F138</f>
        <v>136088.1651504347</v>
      </c>
      <c r="G32" s="133">
        <f>Ref_table!G138</f>
        <v>72383.56048030785</v>
      </c>
      <c r="H32" s="133">
        <f>Ref_table!H138</f>
        <v>306042.7688334251</v>
      </c>
      <c r="I32" s="132">
        <f>Ref_table!I138</f>
        <v>897565.3325368592</v>
      </c>
      <c r="J32" s="133">
        <f>Ref_table!J138</f>
        <v>897564.4744701418</v>
      </c>
      <c r="K32" s="188">
        <f>Ref_table!K138</f>
        <v>897565.3325368592</v>
      </c>
      <c r="L32" s="303">
        <f>Ref_table!L138</f>
        <v>0</v>
      </c>
      <c r="M32" s="303">
        <f>Ref_table!M138</f>
        <v>0</v>
      </c>
      <c r="N32" s="303">
        <f>Ref_table!N138</f>
        <v>0</v>
      </c>
      <c r="O32" s="304">
        <f>Ref_table!O138</f>
        <v>0</v>
      </c>
      <c r="P32" s="391">
        <f>Ref_table!P138</f>
        <v>0</v>
      </c>
      <c r="Q32" s="373">
        <f>Ref_table!Q138</f>
        <v>0</v>
      </c>
    </row>
    <row r="33" spans="1:17" ht="15">
      <c r="A33" s="77" t="str">
        <f>Ref_table!A139</f>
        <v>c34a</v>
      </c>
      <c r="B33" s="60" t="str">
        <f>Ref_table!B139</f>
        <v>of which Inaccessible runoff (flood…)</v>
      </c>
      <c r="C33" s="38">
        <f>Ref_table!C139</f>
        <v>15346.997135476864</v>
      </c>
      <c r="D33" s="38">
        <f>Ref_table!D139</f>
        <v>91886</v>
      </c>
      <c r="E33" s="38">
        <f>Ref_table!E139</f>
        <v>85153.11372755616</v>
      </c>
      <c r="F33" s="38">
        <f>Ref_table!F139</f>
        <v>88590.31977612579</v>
      </c>
      <c r="G33" s="38">
        <f>Ref_table!G139</f>
        <v>57621.182862453046</v>
      </c>
      <c r="H33" s="38">
        <f>Ref_table!H139</f>
        <v>200847.56283655087</v>
      </c>
      <c r="I33" s="249">
        <f>Ref_table!I139</f>
        <v>539445.1763381627</v>
      </c>
      <c r="J33" s="44">
        <f>Ref_table!J139</f>
        <v>539445.1763381627</v>
      </c>
      <c r="K33" s="189">
        <f>Ref_table!K139</f>
        <v>539445.1763381627</v>
      </c>
      <c r="L33" s="305">
        <f>Ref_table!L139</f>
        <v>0</v>
      </c>
      <c r="M33" s="305">
        <f>Ref_table!M139</f>
        <v>0</v>
      </c>
      <c r="N33" s="305">
        <f>Ref_table!N139</f>
        <v>0</v>
      </c>
      <c r="O33" s="306">
        <f>Ref_table!O139</f>
        <v>0</v>
      </c>
      <c r="P33" s="514">
        <f>Ref_table!P139</f>
        <v>0</v>
      </c>
      <c r="Q33" s="368">
        <f>Ref_table!Q139</f>
        <v>0</v>
      </c>
    </row>
    <row r="34" spans="1:17" ht="15">
      <c r="A34" s="77" t="str">
        <f>Ref_table!A140</f>
        <v>c34b</v>
      </c>
      <c r="B34" s="60" t="str">
        <f>Ref_table!B140</f>
        <v>of which reserved runoff/ dillution of pollution, biological needs</v>
      </c>
      <c r="C34" s="38">
        <f>Ref_table!C140</f>
        <v>72770.76309858722</v>
      </c>
      <c r="D34" s="38">
        <f>Ref_table!D140</f>
        <v>69066.25978998514</v>
      </c>
      <c r="E34" s="38">
        <f>Ref_table!E140</f>
        <v>5153.560277221077</v>
      </c>
      <c r="F34" s="38">
        <f>Ref_table!F140</f>
        <v>40773.310435864565</v>
      </c>
      <c r="G34" s="38">
        <f>Ref_table!G140</f>
        <v>317.73104358645617</v>
      </c>
      <c r="H34" s="38">
        <f>Ref_table!H140</f>
        <v>6608.399999999998</v>
      </c>
      <c r="I34" s="249">
        <f>Ref_table!I140</f>
        <v>194690.02464524444</v>
      </c>
      <c r="J34" s="44">
        <f>Ref_table!J140</f>
        <v>194690.02464524444</v>
      </c>
      <c r="K34" s="189">
        <f>Ref_table!K140</f>
        <v>194690.02464524444</v>
      </c>
      <c r="L34" s="305">
        <f>Ref_table!L140</f>
        <v>0</v>
      </c>
      <c r="M34" s="305">
        <f>Ref_table!M140</f>
        <v>0</v>
      </c>
      <c r="N34" s="305">
        <f>Ref_table!N140</f>
        <v>0</v>
      </c>
      <c r="O34" s="306">
        <f>Ref_table!O140</f>
        <v>0</v>
      </c>
      <c r="P34" s="514">
        <f>Ref_table!P140</f>
        <v>0</v>
      </c>
      <c r="Q34" s="368">
        <f>Ref_table!Q140</f>
        <v>0</v>
      </c>
    </row>
    <row r="35" spans="1:17" ht="15">
      <c r="A35" s="77" t="str">
        <f>Ref_table!A141</f>
        <v>c34c</v>
      </c>
      <c r="B35" s="60" t="str">
        <f>Ref_table!B141</f>
        <v>of which net transfers of pollution as additional reserved runoff/dilution of pollution</v>
      </c>
      <c r="C35" s="38">
        <f>Ref_table!C141</f>
        <v>-10000</v>
      </c>
      <c r="D35" s="38">
        <f>Ref_table!D141</f>
        <v>2000</v>
      </c>
      <c r="E35" s="38">
        <f>Ref_table!E141</f>
        <v>2000</v>
      </c>
      <c r="F35" s="38">
        <f>Ref_table!F141</f>
        <v>2000</v>
      </c>
      <c r="G35" s="38">
        <f>Ref_table!G141</f>
        <v>2000</v>
      </c>
      <c r="H35" s="38">
        <f>Ref_table!H141</f>
        <v>2000</v>
      </c>
      <c r="I35" s="249">
        <f>Ref_table!I141</f>
        <v>0</v>
      </c>
      <c r="J35" s="44">
        <f>Ref_table!J141</f>
        <v>0</v>
      </c>
      <c r="K35" s="189">
        <f>Ref_table!K141</f>
        <v>0</v>
      </c>
      <c r="L35" s="305">
        <f>Ref_table!L141</f>
        <v>0</v>
      </c>
      <c r="M35" s="305">
        <f>Ref_table!M141</f>
        <v>0</v>
      </c>
      <c r="N35" s="305">
        <f>Ref_table!N141</f>
        <v>0</v>
      </c>
      <c r="O35" s="306">
        <f>Ref_table!O141</f>
        <v>0</v>
      </c>
      <c r="P35" s="514">
        <f>Ref_table!P141</f>
        <v>0</v>
      </c>
      <c r="Q35" s="368">
        <f>Ref_table!Q141</f>
        <v>0</v>
      </c>
    </row>
    <row r="36" spans="1:17" ht="15">
      <c r="A36" s="77" t="str">
        <f>Ref_table!A142</f>
        <v>c34d</v>
      </c>
      <c r="B36" s="60" t="str">
        <f>Ref_table!B142</f>
        <v>of which additional Evapotranspiration induced by irrigation and other uses</v>
      </c>
      <c r="C36" s="38">
        <f>Ref_table!C142</f>
        <v>1539</v>
      </c>
      <c r="D36" s="38">
        <f>Ref_table!D142</f>
        <v>34887</v>
      </c>
      <c r="E36" s="38">
        <f>Ref_table!E142</f>
        <v>7488</v>
      </c>
      <c r="F36" s="38">
        <f>Ref_table!F142</f>
        <v>1138.448260689239</v>
      </c>
      <c r="G36" s="38">
        <f>Ref_table!G142</f>
        <v>113.84482606892392</v>
      </c>
      <c r="H36" s="38">
        <f>Ref_table!H142</f>
        <v>8781</v>
      </c>
      <c r="I36" s="249">
        <f>Ref_table!I142</f>
        <v>53947.29308675817</v>
      </c>
      <c r="J36" s="44">
        <f>Ref_table!J142</f>
        <v>53947.29308675817</v>
      </c>
      <c r="K36" s="189">
        <f>Ref_table!K142</f>
        <v>53947.29308675817</v>
      </c>
      <c r="L36" s="305">
        <f>Ref_table!L142</f>
        <v>0</v>
      </c>
      <c r="M36" s="305">
        <f>Ref_table!M142</f>
        <v>0</v>
      </c>
      <c r="N36" s="305">
        <f>Ref_table!N142</f>
        <v>0</v>
      </c>
      <c r="O36" s="306">
        <f>Ref_table!O142</f>
        <v>0</v>
      </c>
      <c r="P36" s="514">
        <f>Ref_table!P142</f>
        <v>0</v>
      </c>
      <c r="Q36" s="368">
        <f>Ref_table!Q142</f>
        <v>0</v>
      </c>
    </row>
    <row r="37" spans="1:17" ht="15">
      <c r="A37" s="993" t="str">
        <f>Ref_table!A143</f>
        <v>c35</v>
      </c>
      <c r="B37" s="150" t="str">
        <f>Ref_table!B143</f>
        <v>Accessible ecosystem water flow [c34-c34a-c34b-c34c-c34d]</v>
      </c>
      <c r="C37" s="143">
        <f>Ref_table!C143</f>
        <v>-12906.921435706885</v>
      </c>
      <c r="D37" s="143">
        <f>Ref_table!D143</f>
        <v>-12318.286239446898</v>
      </c>
      <c r="E37" s="143">
        <f>Ref_table!E143</f>
        <v>30985.351719018858</v>
      </c>
      <c r="F37" s="143">
        <f>Ref_table!F143</f>
        <v>3586.0866777551128</v>
      </c>
      <c r="G37" s="143">
        <f>Ref_table!G143</f>
        <v>12330.801748199417</v>
      </c>
      <c r="H37" s="143">
        <f>Ref_table!H143</f>
        <v>87805.80599687426</v>
      </c>
      <c r="I37" s="132">
        <f>Ref_table!I143</f>
        <v>109482.83846669387</v>
      </c>
      <c r="J37" s="143">
        <f>Ref_table!J143</f>
        <v>109481.98039997648</v>
      </c>
      <c r="K37" s="189">
        <f>Ref_table!K143</f>
        <v>109482.83846669387</v>
      </c>
      <c r="L37" s="309">
        <f>Ref_table!L143</f>
        <v>0</v>
      </c>
      <c r="M37" s="309">
        <f>Ref_table!M143</f>
        <v>0</v>
      </c>
      <c r="N37" s="309">
        <f>Ref_table!N143</f>
        <v>0</v>
      </c>
      <c r="O37" s="310">
        <f>Ref_table!O143</f>
        <v>0</v>
      </c>
      <c r="P37" s="518">
        <f>Ref_table!P143</f>
        <v>0</v>
      </c>
      <c r="Q37" s="99">
        <f>Ref_table!Q143</f>
        <v>0</v>
      </c>
    </row>
    <row r="38" spans="1:17" ht="15">
      <c r="A38" s="985" t="str">
        <f>Ref_table!A144</f>
        <v>c36</v>
      </c>
      <c r="B38" s="1025" t="str">
        <f>Ref_table!B144</f>
        <v>Withdrawals of water</v>
      </c>
      <c r="C38" s="143">
        <f>Ref_table!C144</f>
        <v>0</v>
      </c>
      <c r="D38" s="143">
        <f>Ref_table!D144</f>
        <v>0</v>
      </c>
      <c r="E38" s="143">
        <f>Ref_table!E144</f>
        <v>0</v>
      </c>
      <c r="F38" s="143">
        <f>Ref_table!F144</f>
        <v>0</v>
      </c>
      <c r="G38" s="143">
        <f>Ref_table!G144</f>
        <v>0</v>
      </c>
      <c r="H38" s="143">
        <f>Ref_table!H144</f>
        <v>0</v>
      </c>
      <c r="I38" s="132">
        <f>Ref_table!I144</f>
        <v>0</v>
      </c>
      <c r="J38" s="143">
        <f>Ref_table!J144</f>
        <v>0</v>
      </c>
      <c r="K38" s="189">
        <f>Ref_table!K144</f>
        <v>0</v>
      </c>
      <c r="L38" s="309">
        <f>Ref_table!L144</f>
        <v>0</v>
      </c>
      <c r="M38" s="309">
        <f>Ref_table!M144</f>
        <v>0</v>
      </c>
      <c r="N38" s="309">
        <f>Ref_table!N144</f>
        <v>0</v>
      </c>
      <c r="O38" s="310">
        <f>Ref_table!O144</f>
        <v>0</v>
      </c>
      <c r="P38" s="518">
        <f>Ref_table!P144</f>
        <v>0</v>
      </c>
      <c r="Q38" s="99">
        <f>Ref_table!Q144</f>
        <v>0</v>
      </c>
    </row>
    <row r="39" spans="1:17" ht="15">
      <c r="A39" s="79" t="str">
        <f>Ref_table!A145</f>
        <v>c361</v>
      </c>
      <c r="B39" s="92" t="str">
        <f>Ref_table!B145</f>
        <v>Withdrawals of fresh water (abstraction, diversion to electricity turbine, net storage in reservoirs)</v>
      </c>
      <c r="C39" s="43">
        <f>Ref_table!C145</f>
        <v>7223.075645539007</v>
      </c>
      <c r="D39" s="43">
        <f>Ref_table!D145</f>
        <v>51997.6979980363</v>
      </c>
      <c r="E39" s="43">
        <f>Ref_table!E145</f>
        <v>13433.658391087723</v>
      </c>
      <c r="F39" s="43">
        <f>Ref_table!F145</f>
        <v>12405</v>
      </c>
      <c r="G39" s="43">
        <f>Ref_table!G145</f>
        <v>1696</v>
      </c>
      <c r="H39" s="43">
        <f>Ref_table!H145</f>
        <v>12478</v>
      </c>
      <c r="I39" s="132">
        <f>Ref_table!I145</f>
        <v>99233.43203466304</v>
      </c>
      <c r="J39" s="143">
        <f>Ref_table!J145</f>
        <v>99233.43203466304</v>
      </c>
      <c r="K39" s="189">
        <f>Ref_table!K145</f>
        <v>99233.43203466304</v>
      </c>
      <c r="L39" s="309">
        <f>Ref_table!L145</f>
        <v>0</v>
      </c>
      <c r="M39" s="309">
        <f>Ref_table!M145</f>
        <v>0</v>
      </c>
      <c r="N39" s="309">
        <f>Ref_table!N145</f>
        <v>0</v>
      </c>
      <c r="O39" s="310">
        <f>Ref_table!O145</f>
        <v>0</v>
      </c>
      <c r="P39" s="518">
        <f>Ref_table!P145</f>
        <v>0</v>
      </c>
      <c r="Q39" s="99">
        <f>Ref_table!Q145</f>
        <v>0</v>
      </c>
    </row>
    <row r="40" spans="1:17" ht="15">
      <c r="A40" s="79" t="str">
        <f>Ref_table!A146</f>
        <v>c362</v>
      </c>
      <c r="B40" s="92" t="str">
        <f>Ref_table!B146</f>
        <v>Withdrawals of sea water</v>
      </c>
      <c r="C40" s="43">
        <f>Ref_table!C146</f>
        <v>500</v>
      </c>
      <c r="D40" s="43">
        <f>Ref_table!D146</f>
        <v>0</v>
      </c>
      <c r="E40" s="43">
        <f>Ref_table!E146</f>
        <v>0</v>
      </c>
      <c r="F40" s="43">
        <f>Ref_table!F146</f>
        <v>0</v>
      </c>
      <c r="G40" s="43">
        <f>Ref_table!G146</f>
        <v>0</v>
      </c>
      <c r="H40" s="43">
        <f>Ref_table!H146</f>
        <v>0</v>
      </c>
      <c r="I40" s="132">
        <f>Ref_table!I146</f>
        <v>0</v>
      </c>
      <c r="J40" s="143">
        <f>Ref_table!J146</f>
        <v>0</v>
      </c>
      <c r="K40" s="189">
        <f>Ref_table!K146</f>
        <v>0</v>
      </c>
      <c r="L40" s="309">
        <f>Ref_table!L146</f>
        <v>0</v>
      </c>
      <c r="M40" s="309">
        <f>Ref_table!M146</f>
        <v>0</v>
      </c>
      <c r="N40" s="309">
        <f>Ref_table!N146</f>
        <v>0</v>
      </c>
      <c r="O40" s="310">
        <f>Ref_table!O146</f>
        <v>0</v>
      </c>
      <c r="P40" s="518">
        <f>Ref_table!P146</f>
        <v>0</v>
      </c>
      <c r="Q40" s="99">
        <f>Ref_table!Q146</f>
        <v>0</v>
      </c>
    </row>
    <row r="41" spans="1:17" ht="15">
      <c r="A41" s="75" t="str">
        <f>Ref_table!A147</f>
        <v>c37</v>
      </c>
      <c r="B41" s="990" t="str">
        <f>Ref_table!B147</f>
        <v>Net transport of water (artificial transfers by mains and canals, conveyance to WWTP…)</v>
      </c>
      <c r="C41" s="240">
        <f>Ref_table!C147</f>
        <v>4600</v>
      </c>
      <c r="D41" s="240">
        <f>Ref_table!D147</f>
        <v>2000</v>
      </c>
      <c r="E41" s="240">
        <f>Ref_table!E147</f>
        <v>-2500</v>
      </c>
      <c r="F41" s="240">
        <f>Ref_table!F147</f>
        <v>-2000</v>
      </c>
      <c r="G41" s="240">
        <f>Ref_table!G147</f>
        <v>-1200</v>
      </c>
      <c r="H41" s="240">
        <f>Ref_table!H147</f>
        <v>-400</v>
      </c>
      <c r="I41" s="132">
        <f>Ref_table!I147</f>
        <v>500</v>
      </c>
      <c r="J41" s="240">
        <f>Ref_table!J147</f>
        <v>500</v>
      </c>
      <c r="K41" s="188">
        <f>Ref_table!K147</f>
        <v>500</v>
      </c>
      <c r="L41" s="301">
        <f>Ref_table!L147</f>
        <v>0</v>
      </c>
      <c r="M41" s="301">
        <f>Ref_table!M147</f>
        <v>0</v>
      </c>
      <c r="N41" s="301">
        <f>Ref_table!N147</f>
        <v>0</v>
      </c>
      <c r="O41" s="302">
        <f>Ref_table!O147</f>
        <v>0</v>
      </c>
      <c r="P41" s="388">
        <f>Ref_table!P147</f>
        <v>0</v>
      </c>
      <c r="Q41" s="374">
        <f>Ref_table!Q147</f>
        <v>0</v>
      </c>
    </row>
    <row r="42" spans="1:17" ht="15">
      <c r="A42" s="75" t="str">
        <f>Ref_table!A148</f>
        <v>c38</v>
      </c>
      <c r="B42" s="990" t="str">
        <f>Ref_table!B148</f>
        <v>Urban runoff inflow</v>
      </c>
      <c r="C42" s="991">
        <f>Ref_table!C148</f>
        <v>2000</v>
      </c>
      <c r="D42" s="991">
        <f>Ref_table!D148</f>
        <v>200</v>
      </c>
      <c r="E42" s="991">
        <f>Ref_table!E148</f>
        <v>100</v>
      </c>
      <c r="F42" s="991">
        <f>Ref_table!F148</f>
        <v>10</v>
      </c>
      <c r="G42" s="991">
        <f>Ref_table!G148</f>
        <v>10</v>
      </c>
      <c r="H42" s="991">
        <f>Ref_table!H148</f>
        <v>300</v>
      </c>
      <c r="I42" s="132">
        <f>Ref_table!I148</f>
        <v>2620</v>
      </c>
      <c r="J42" s="240">
        <f>Ref_table!J148</f>
        <v>0</v>
      </c>
      <c r="K42" s="188">
        <f>Ref_table!K148</f>
        <v>0</v>
      </c>
      <c r="L42" s="301">
        <f>Ref_table!L148</f>
        <v>0</v>
      </c>
      <c r="M42" s="301">
        <f>Ref_table!M148</f>
        <v>0</v>
      </c>
      <c r="N42" s="301">
        <f>Ref_table!N148</f>
        <v>0</v>
      </c>
      <c r="O42" s="302">
        <f>Ref_table!O148</f>
        <v>0</v>
      </c>
      <c r="P42" s="388">
        <f>Ref_table!P148</f>
        <v>0</v>
      </c>
      <c r="Q42" s="374">
        <f>Ref_table!Q148</f>
        <v>0</v>
      </c>
    </row>
    <row r="43" spans="1:17" ht="15">
      <c r="A43" s="75" t="str">
        <f>Ref_table!A149</f>
        <v>c39</v>
      </c>
      <c r="B43" s="990" t="str">
        <f>Ref_table!B149</f>
        <v>Returns of water</v>
      </c>
      <c r="C43" s="991">
        <f>Ref_table!C149</f>
        <v>0</v>
      </c>
      <c r="D43" s="991">
        <f>Ref_table!D149</f>
        <v>0</v>
      </c>
      <c r="E43" s="991">
        <f>Ref_table!E149</f>
        <v>0</v>
      </c>
      <c r="F43" s="991">
        <f>Ref_table!F149</f>
        <v>0</v>
      </c>
      <c r="G43" s="991">
        <f>Ref_table!G149</f>
        <v>0</v>
      </c>
      <c r="H43" s="991">
        <f>Ref_table!H149</f>
        <v>0</v>
      </c>
      <c r="I43" s="132">
        <f>Ref_table!I149</f>
        <v>0</v>
      </c>
      <c r="J43" s="240">
        <f>Ref_table!J149</f>
        <v>0</v>
      </c>
      <c r="K43" s="188">
        <f>Ref_table!K149</f>
        <v>0</v>
      </c>
      <c r="L43" s="301">
        <f>Ref_table!L149</f>
        <v>0</v>
      </c>
      <c r="M43" s="301">
        <f>Ref_table!M149</f>
        <v>0</v>
      </c>
      <c r="N43" s="301">
        <f>Ref_table!N149</f>
        <v>0</v>
      </c>
      <c r="O43" s="302">
        <f>Ref_table!O149</f>
        <v>0</v>
      </c>
      <c r="P43" s="388">
        <f>Ref_table!P149</f>
        <v>0</v>
      </c>
      <c r="Q43" s="374">
        <f>Ref_table!Q149</f>
        <v>0</v>
      </c>
    </row>
    <row r="44" spans="1:17" ht="15">
      <c r="A44" s="79" t="str">
        <f>Ref_table!A150</f>
        <v>c391</v>
      </c>
      <c r="B44" s="92" t="str">
        <f>Ref_table!B150</f>
        <v>Returns of water/waste water to water bodies incl. urban runoff outflow</v>
      </c>
      <c r="C44" s="48">
        <f>Ref_table!C150</f>
        <v>12128.460516431205</v>
      </c>
      <c r="D44" s="48">
        <f>Ref_table!D150</f>
        <v>11511.043298330856</v>
      </c>
      <c r="E44" s="48">
        <f>Ref_table!E150</f>
        <v>858.9267128701795</v>
      </c>
      <c r="F44" s="48">
        <f>Ref_table!F150</f>
        <v>6795.551739310761</v>
      </c>
      <c r="G44" s="48">
        <f>Ref_table!G150</f>
        <v>52.95517393107603</v>
      </c>
      <c r="H44" s="48">
        <f>Ref_table!H150</f>
        <v>1101.3999999999996</v>
      </c>
      <c r="I44" s="132">
        <f>Ref_table!I150</f>
        <v>32448.33744087408</v>
      </c>
      <c r="J44" s="43">
        <f>Ref_table!J150</f>
        <v>32448.33744087408</v>
      </c>
      <c r="K44" s="188">
        <f>Ref_table!K150</f>
        <v>32448.33744087408</v>
      </c>
      <c r="L44" s="309">
        <f>Ref_table!L150</f>
        <v>0</v>
      </c>
      <c r="M44" s="309">
        <f>Ref_table!M150</f>
        <v>0</v>
      </c>
      <c r="N44" s="309">
        <f>Ref_table!N150</f>
        <v>0</v>
      </c>
      <c r="O44" s="310">
        <f>Ref_table!O150</f>
        <v>0</v>
      </c>
      <c r="P44" s="518">
        <f>Ref_table!P150</f>
        <v>0</v>
      </c>
      <c r="Q44" s="99">
        <f>Ref_table!Q150</f>
        <v>0</v>
      </c>
    </row>
    <row r="45" spans="1:17" ht="15">
      <c r="A45" s="79" t="str">
        <f>Ref_table!A151</f>
        <v>c392</v>
      </c>
      <c r="B45" s="92" t="str">
        <f>Ref_table!B151</f>
        <v>Returns of water/waste water to the sea</v>
      </c>
      <c r="C45" s="48">
        <f>Ref_table!C151</f>
        <v>1212.8460516431205</v>
      </c>
      <c r="D45" s="48">
        <f>Ref_table!D151</f>
        <v>1151.1043298330858</v>
      </c>
      <c r="E45" s="48">
        <f>Ref_table!E151</f>
        <v>85.89267128701795</v>
      </c>
      <c r="F45" s="48">
        <f>Ref_table!F151</f>
        <v>679.5551739310762</v>
      </c>
      <c r="G45" s="48">
        <f>Ref_table!G151</f>
        <v>5.295517393107604</v>
      </c>
      <c r="H45" s="48">
        <f>Ref_table!H151</f>
        <v>110.13999999999997</v>
      </c>
      <c r="I45" s="132">
        <f>Ref_table!I151</f>
        <v>0</v>
      </c>
      <c r="J45" s="43">
        <f>Ref_table!J151</f>
        <v>0</v>
      </c>
      <c r="K45" s="188">
        <f>Ref_table!K151</f>
        <v>0</v>
      </c>
      <c r="L45" s="309">
        <f>Ref_table!L151</f>
        <v>0</v>
      </c>
      <c r="M45" s="309">
        <f>Ref_table!M151</f>
        <v>0</v>
      </c>
      <c r="N45" s="309">
        <f>Ref_table!N151</f>
        <v>0</v>
      </c>
      <c r="O45" s="310">
        <f>Ref_table!O151</f>
        <v>0</v>
      </c>
      <c r="P45" s="518">
        <f>Ref_table!P151</f>
        <v>0</v>
      </c>
      <c r="Q45" s="99">
        <f>Ref_table!Q151</f>
        <v>0</v>
      </c>
    </row>
    <row r="46" spans="1:17" ht="15">
      <c r="A46" s="75" t="str">
        <f>Ref_table!A152</f>
        <v>c40</v>
      </c>
      <c r="B46" s="31" t="str">
        <f>Ref_table!B152</f>
        <v>Returns of water to soil/losses in transport</v>
      </c>
      <c r="C46" s="48">
        <f>Ref_table!C152</f>
        <v>1444.6151291078015</v>
      </c>
      <c r="D46" s="48">
        <f>Ref_table!D152</f>
        <v>7799.654699705445</v>
      </c>
      <c r="E46" s="48">
        <f>Ref_table!E152</f>
        <v>2686.731678217545</v>
      </c>
      <c r="F46" s="48">
        <f>Ref_table!F152</f>
        <v>2481</v>
      </c>
      <c r="G46" s="48">
        <f>Ref_table!G152</f>
        <v>339.20000000000005</v>
      </c>
      <c r="H46" s="48">
        <f>Ref_table!H152</f>
        <v>2495.6000000000004</v>
      </c>
      <c r="I46" s="132">
        <f>Ref_table!I152</f>
        <v>17246.801507030796</v>
      </c>
      <c r="J46" s="43">
        <f>Ref_table!J152</f>
        <v>17246.801507030796</v>
      </c>
      <c r="K46" s="188">
        <f>Ref_table!K152</f>
        <v>17246.801507030796</v>
      </c>
      <c r="L46" s="309">
        <f>Ref_table!L152</f>
        <v>0</v>
      </c>
      <c r="M46" s="309">
        <f>Ref_table!M152</f>
        <v>0</v>
      </c>
      <c r="N46" s="309">
        <f>Ref_table!N152</f>
        <v>0</v>
      </c>
      <c r="O46" s="310">
        <f>Ref_table!O152</f>
        <v>0</v>
      </c>
      <c r="P46" s="518">
        <f>Ref_table!P152</f>
        <v>0</v>
      </c>
      <c r="Q46" s="99">
        <f>Ref_table!Q152</f>
        <v>0</v>
      </c>
    </row>
    <row r="47" spans="1:17" ht="15">
      <c r="A47" s="75" t="str">
        <f>Ref_table!A153</f>
        <v>c41</v>
      </c>
      <c r="B47" s="31" t="str">
        <f>Ref_table!B153</f>
        <v>Return of water to soil/irrigation</v>
      </c>
      <c r="C47" s="4">
        <f>Ref_table!C153</f>
        <v>250</v>
      </c>
      <c r="D47" s="4">
        <f>Ref_table!D153</f>
        <v>34887</v>
      </c>
      <c r="E47" s="4">
        <f>Ref_table!E153</f>
        <v>7488</v>
      </c>
      <c r="F47" s="4">
        <f>Ref_table!F153</f>
        <v>1138.448260689239</v>
      </c>
      <c r="G47" s="4">
        <f>Ref_table!G153</f>
        <v>113.84482606892392</v>
      </c>
      <c r="H47" s="4">
        <f>Ref_table!H153</f>
        <v>8781</v>
      </c>
      <c r="I47" s="132">
        <f>Ref_table!I153</f>
        <v>52658.29308675817</v>
      </c>
      <c r="J47" s="43">
        <f>Ref_table!J153</f>
        <v>52658.29308675817</v>
      </c>
      <c r="K47" s="188">
        <f>Ref_table!K153</f>
        <v>52658.29308675817</v>
      </c>
      <c r="L47" s="309">
        <f>Ref_table!L153</f>
        <v>0</v>
      </c>
      <c r="M47" s="309">
        <f>Ref_table!M153</f>
        <v>0</v>
      </c>
      <c r="N47" s="309">
        <f>Ref_table!N153</f>
        <v>0</v>
      </c>
      <c r="O47" s="310">
        <f>Ref_table!O153</f>
        <v>0</v>
      </c>
      <c r="P47" s="518">
        <f>Ref_table!P153</f>
        <v>0</v>
      </c>
      <c r="Q47" s="99">
        <f>Ref_table!Q153</f>
        <v>0</v>
      </c>
    </row>
    <row r="48" spans="1:17" ht="15">
      <c r="A48" s="75" t="str">
        <f>Ref_table!A154</f>
        <v>c42</v>
      </c>
      <c r="B48" s="31" t="str">
        <f>Ref_table!B154</f>
        <v>Evapotranspiration induced by irrigation and other uses</v>
      </c>
      <c r="C48" s="4">
        <f>Ref_table!C154</f>
        <v>1539</v>
      </c>
      <c r="D48" s="4">
        <f>Ref_table!D154</f>
        <v>34887</v>
      </c>
      <c r="E48" s="4">
        <f>Ref_table!E154</f>
        <v>7488</v>
      </c>
      <c r="F48" s="4">
        <f>Ref_table!F154</f>
        <v>1138.448260689239</v>
      </c>
      <c r="G48" s="4">
        <f>Ref_table!G154</f>
        <v>113.84482606892392</v>
      </c>
      <c r="H48" s="4">
        <f>Ref_table!H154</f>
        <v>8781</v>
      </c>
      <c r="I48" s="132">
        <f>Ref_table!I154</f>
        <v>53947.29308675817</v>
      </c>
      <c r="J48" s="43">
        <f>Ref_table!J154</f>
        <v>53947.29308675817</v>
      </c>
      <c r="K48" s="188">
        <f>Ref_table!K154</f>
        <v>53947.29308675817</v>
      </c>
      <c r="L48" s="309">
        <f>Ref_table!L154</f>
        <v>0</v>
      </c>
      <c r="M48" s="309">
        <f>Ref_table!M154</f>
        <v>0</v>
      </c>
      <c r="N48" s="309">
        <f>Ref_table!N154</f>
        <v>0</v>
      </c>
      <c r="O48" s="310">
        <f>Ref_table!O154</f>
        <v>0</v>
      </c>
      <c r="P48" s="518">
        <f>Ref_table!P154</f>
        <v>0</v>
      </c>
      <c r="Q48" s="99">
        <f>Ref_table!Q154</f>
        <v>0</v>
      </c>
    </row>
    <row r="49" spans="1:17" ht="15.75" thickBot="1">
      <c r="A49" s="75" t="str">
        <f>Ref_table!A155</f>
        <v>c43</v>
      </c>
      <c r="B49" s="992" t="str">
        <f>Ref_table!B155</f>
        <v>Net runoff (external inflows - final outflows)</v>
      </c>
      <c r="C49" s="190">
        <f>Ref_table!C155</f>
        <v>-74411</v>
      </c>
      <c r="D49" s="190">
        <f>Ref_table!D155</f>
        <v>-154634</v>
      </c>
      <c r="E49" s="190">
        <f>Ref_table!E155</f>
        <v>-118292</v>
      </c>
      <c r="F49" s="190">
        <f>Ref_table!F155</f>
        <v>-130950</v>
      </c>
      <c r="G49" s="190">
        <f>Ref_table!G155</f>
        <v>-69870</v>
      </c>
      <c r="H49" s="190">
        <f>Ref_table!H155</f>
        <v>-296462</v>
      </c>
      <c r="I49" s="270">
        <f>Ref_table!I155</f>
        <v>-844619</v>
      </c>
      <c r="J49" s="191">
        <f>Ref_table!J155</f>
        <v>-844619</v>
      </c>
      <c r="K49" s="192">
        <f>Ref_table!K155</f>
        <v>-844619</v>
      </c>
      <c r="L49" s="347">
        <f>Ref_table!L155</f>
        <v>0</v>
      </c>
      <c r="M49" s="347">
        <f>Ref_table!M155</f>
        <v>0</v>
      </c>
      <c r="N49" s="347">
        <f>Ref_table!N155</f>
        <v>0</v>
      </c>
      <c r="O49" s="348">
        <f>Ref_table!O155</f>
        <v>0</v>
      </c>
      <c r="P49" s="519">
        <f>Ref_table!P155</f>
        <v>0</v>
      </c>
      <c r="Q49" s="515">
        <f>Ref_table!Q155</f>
        <v>0</v>
      </c>
    </row>
    <row r="50" spans="1:17" ht="15" hidden="1">
      <c r="A50" s="208">
        <f>Ref_table!A156</f>
        <v>0</v>
      </c>
      <c r="B50" s="209" t="str">
        <f>Ref_table!B156</f>
        <v>control</v>
      </c>
      <c r="C50" s="210">
        <f>Ref_table!C156</f>
        <v>1999.838798357203</v>
      </c>
      <c r="D50" s="210">
        <f>Ref_table!D156</f>
        <v>199.9735505382414</v>
      </c>
      <c r="E50" s="210">
        <f>Ref_table!E156</f>
        <v>100.02572379610501</v>
      </c>
      <c r="F50" s="210">
        <f>Ref_table!F156</f>
        <v>9.716889745468507</v>
      </c>
      <c r="G50" s="210">
        <f>Ref_table!G156</f>
        <v>9.715654238912975</v>
      </c>
      <c r="H50" s="210">
        <f>Ref_table!H156</f>
        <v>299.76883342512883</v>
      </c>
      <c r="I50" s="211">
        <f>Ref_table!I156</f>
        <v>2619.039450100856</v>
      </c>
      <c r="J50" s="210">
        <f>Ref_table!J156</f>
        <v>2618.181383383693</v>
      </c>
      <c r="K50" s="211">
        <f>Ref_table!K156</f>
        <v>0</v>
      </c>
      <c r="L50" s="218">
        <f>Ref_table!L156</f>
        <v>0</v>
      </c>
      <c r="M50" s="218">
        <f>Ref_table!M156</f>
        <v>0</v>
      </c>
      <c r="N50" s="218">
        <f>Ref_table!N156</f>
        <v>0</v>
      </c>
      <c r="O50" s="219">
        <f>Ref_table!O156</f>
        <v>0</v>
      </c>
      <c r="P50" s="520">
        <f>Ref_table!P156</f>
        <v>0</v>
      </c>
      <c r="Q50" s="516">
        <f>Ref_table!Q156</f>
        <v>0</v>
      </c>
    </row>
    <row r="51" spans="1:17" ht="15.75" hidden="1" thickBot="1">
      <c r="A51" s="214">
        <f>Ref_table!A157</f>
        <v>0</v>
      </c>
      <c r="B51" s="215" t="str">
        <f>Ref_table!B157</f>
        <v>control</v>
      </c>
      <c r="C51" s="216">
        <f>Ref_table!C157</f>
        <v>-76410.8387983572</v>
      </c>
      <c r="D51" s="216">
        <f>Ref_table!D157</f>
        <v>-154833.97355053824</v>
      </c>
      <c r="E51" s="216">
        <f>Ref_table!E157</f>
        <v>-118392.0257237961</v>
      </c>
      <c r="F51" s="216">
        <f>Ref_table!F157</f>
        <v>-130959.71688974547</v>
      </c>
      <c r="G51" s="216">
        <f>Ref_table!G157</f>
        <v>-69879.71565423891</v>
      </c>
      <c r="H51" s="216">
        <f>Ref_table!H157</f>
        <v>-296761.7688334251</v>
      </c>
      <c r="I51" s="271">
        <f>Ref_table!I157</f>
        <v>-847238.0394501011</v>
      </c>
      <c r="J51" s="216">
        <f>Ref_table!J157</f>
        <v>-847237.1813833837</v>
      </c>
      <c r="K51" s="217">
        <f>Ref_table!K157</f>
        <v>0</v>
      </c>
      <c r="L51" s="521">
        <f>Ref_table!L157</f>
        <v>0</v>
      </c>
      <c r="M51" s="521">
        <f>Ref_table!M157</f>
        <v>0</v>
      </c>
      <c r="N51" s="521">
        <f>Ref_table!N157</f>
        <v>0</v>
      </c>
      <c r="O51" s="522">
        <f>Ref_table!O157</f>
        <v>0</v>
      </c>
      <c r="P51" s="523">
        <f>Ref_table!P157</f>
        <v>0</v>
      </c>
      <c r="Q51" s="212">
        <f>Ref_table!Q157</f>
        <v>0</v>
      </c>
    </row>
    <row r="52" spans="1:17" ht="15.75">
      <c r="A52" s="1062" t="str">
        <f>Ref_table!A158</f>
        <v>Net Ecosystem Accessible Water Surplus</v>
      </c>
      <c r="B52" s="1063">
        <f>Ref_table!B158</f>
        <v>0</v>
      </c>
      <c r="C52" s="1063">
        <f>Ref_table!C158</f>
        <v>0</v>
      </c>
      <c r="D52" s="1063">
        <f>Ref_table!D158</f>
        <v>0</v>
      </c>
      <c r="E52" s="1063">
        <f>Ref_table!E158</f>
        <v>0</v>
      </c>
      <c r="F52" s="1063">
        <f>Ref_table!F158</f>
        <v>0</v>
      </c>
      <c r="G52" s="1063">
        <f>Ref_table!G158</f>
        <v>0</v>
      </c>
      <c r="H52" s="1063">
        <f>Ref_table!H158</f>
        <v>0</v>
      </c>
      <c r="I52" s="1063">
        <f>Ref_table!I158</f>
        <v>0</v>
      </c>
      <c r="J52" s="1063">
        <f>Ref_table!J158</f>
        <v>0</v>
      </c>
      <c r="K52" s="1064">
        <f>Ref_table!K158</f>
        <v>0</v>
      </c>
      <c r="L52" s="375">
        <f>Ref_table!L158</f>
        <v>0</v>
      </c>
      <c r="M52" s="376">
        <f>Ref_table!M158</f>
        <v>0</v>
      </c>
      <c r="N52" s="376">
        <f>Ref_table!N158</f>
        <v>0</v>
      </c>
      <c r="O52" s="377">
        <f>Ref_table!O158</f>
        <v>0</v>
      </c>
      <c r="P52" s="378">
        <f>Ref_table!P158</f>
        <v>0</v>
      </c>
      <c r="Q52" s="379">
        <f>Ref_table!Q158</f>
        <v>0</v>
      </c>
    </row>
    <row r="53" spans="1:17" ht="15">
      <c r="A53" s="56" t="str">
        <f>Ref_table!A159</f>
        <v>C5</v>
      </c>
      <c r="B53" s="90" t="str">
        <f>Ref_table!B159</f>
        <v>Total Ecosystem Accessible Water t1 (~1995)  [c111+c121+c131+c141+c35+c37+c391-c38+c40+c41]</v>
      </c>
      <c r="C53" s="45">
        <f>Ref_table!C159</f>
        <v>18470.490557508427</v>
      </c>
      <c r="D53" s="45">
        <f>Ref_table!D159</f>
        <v>105458.57442754121</v>
      </c>
      <c r="E53" s="45">
        <f>Ref_table!E159</f>
        <v>87922.89592335044</v>
      </c>
      <c r="F53" s="45">
        <f>Ref_table!F159</f>
        <v>67787.22216098831</v>
      </c>
      <c r="G53" s="45">
        <f>Ref_table!G159</f>
        <v>21632.22067650357</v>
      </c>
      <c r="H53" s="45">
        <f>Ref_table!H159</f>
        <v>224338.94803504547</v>
      </c>
      <c r="I53" s="272">
        <f>Ref_table!I159</f>
        <v>525610.3517809374</v>
      </c>
      <c r="J53" s="45">
        <f>Ref_table!J159</f>
        <v>425376.001679557</v>
      </c>
      <c r="K53" s="205">
        <f>Ref_table!K159</f>
        <v>950986.3534604944</v>
      </c>
      <c r="L53" s="524">
        <f>Ref_table!L159</f>
        <v>0</v>
      </c>
      <c r="M53" s="311">
        <f>Ref_table!M159</f>
        <v>0</v>
      </c>
      <c r="N53" s="311">
        <f>Ref_table!N159</f>
        <v>0</v>
      </c>
      <c r="O53" s="312">
        <f>Ref_table!O159</f>
        <v>0</v>
      </c>
      <c r="P53" s="507">
        <f>Ref_table!P159</f>
        <v>0</v>
      </c>
      <c r="Q53" s="517">
        <f>Ref_table!Q159</f>
        <v>0</v>
      </c>
    </row>
    <row r="54" spans="1:17" ht="15">
      <c r="A54" s="56" t="str">
        <f>Ref_table!A160</f>
        <v>C6</v>
      </c>
      <c r="B54" s="19" t="str">
        <f>Ref_table!B160</f>
        <v>Total Ecosystem Accessible Water t10 (~2005)  [c211+c221+c231+c241+c35+c37+c391-c38+c40+c41]</v>
      </c>
      <c r="C54" s="48">
        <f>Ref_table!C160</f>
        <v>17890.46320386651</v>
      </c>
      <c r="D54" s="48">
        <f>Ref_table!D160</f>
        <v>103119.94793684312</v>
      </c>
      <c r="E54" s="48">
        <f>Ref_table!E160</f>
        <v>86086.80010538232</v>
      </c>
      <c r="F54" s="48">
        <f>Ref_table!F160</f>
        <v>65675.0809413155</v>
      </c>
      <c r="G54" s="48">
        <f>Ref_table!G160</f>
        <v>21239.712129394797</v>
      </c>
      <c r="H54" s="48">
        <f>Ref_table!H160</f>
        <v>219612.60378222115</v>
      </c>
      <c r="I54" s="132">
        <f>Ref_table!I160</f>
        <v>513624.6080990234</v>
      </c>
      <c r="J54" s="48">
        <f>Ref_table!J160</f>
        <v>413390.257997643</v>
      </c>
      <c r="K54" s="205">
        <f>Ref_table!K160</f>
        <v>927014.8660966664</v>
      </c>
      <c r="L54" s="484">
        <f>Ref_table!L160</f>
        <v>0</v>
      </c>
      <c r="M54" s="309">
        <f>Ref_table!M160</f>
        <v>0</v>
      </c>
      <c r="N54" s="309">
        <f>Ref_table!N160</f>
        <v>0</v>
      </c>
      <c r="O54" s="25">
        <f>Ref_table!O160</f>
        <v>0</v>
      </c>
      <c r="P54" s="508">
        <f>Ref_table!P160</f>
        <v>0</v>
      </c>
      <c r="Q54" s="99">
        <f>Ref_table!Q160</f>
        <v>0</v>
      </c>
    </row>
    <row r="55" spans="1:17" ht="15">
      <c r="A55" s="121" t="str">
        <f>Ref_table!A161</f>
        <v>C6-C5</v>
      </c>
      <c r="B55" s="64" t="str">
        <f>Ref_table!B161</f>
        <v>Change in total accessible water [C6-55]</v>
      </c>
      <c r="C55" s="120">
        <f>Ref_table!C161</f>
        <v>-580.0273536419154</v>
      </c>
      <c r="D55" s="120">
        <f>Ref_table!D161</f>
        <v>-2338.626490698094</v>
      </c>
      <c r="E55" s="120">
        <f>Ref_table!E161</f>
        <v>-1836.0958179681184</v>
      </c>
      <c r="F55" s="120">
        <f>Ref_table!F161</f>
        <v>-2112.1412196728197</v>
      </c>
      <c r="G55" s="120">
        <f>Ref_table!G161</f>
        <v>-392.5085471087732</v>
      </c>
      <c r="H55" s="120">
        <f>Ref_table!H161</f>
        <v>-4726.344252824318</v>
      </c>
      <c r="I55" s="273">
        <f>Ref_table!I161</f>
        <v>-11985.743681913998</v>
      </c>
      <c r="J55" s="120">
        <f>Ref_table!J161</f>
        <v>-11985.743681913998</v>
      </c>
      <c r="K55" s="206">
        <f>Ref_table!K161</f>
        <v>-23971.487363827997</v>
      </c>
      <c r="L55" s="392">
        <f>Ref_table!L161</f>
        <v>0</v>
      </c>
      <c r="M55" s="305">
        <f>Ref_table!M161</f>
        <v>0</v>
      </c>
      <c r="N55" s="305">
        <f>Ref_table!N161</f>
        <v>0</v>
      </c>
      <c r="O55" s="313">
        <f>Ref_table!O161</f>
        <v>0</v>
      </c>
      <c r="P55" s="393">
        <f>Ref_table!P161</f>
        <v>0</v>
      </c>
      <c r="Q55" s="368">
        <f>Ref_table!Q161</f>
        <v>0</v>
      </c>
    </row>
    <row r="56" spans="1:17" ht="15">
      <c r="A56" s="203">
        <f>Ref_table!A162</f>
        <v>0</v>
      </c>
      <c r="B56" s="13">
        <f>Ref_table!B162</f>
        <v>0</v>
      </c>
      <c r="C56" s="13">
        <f>Ref_table!C162</f>
        <v>0</v>
      </c>
      <c r="D56" s="13">
        <f>Ref_table!D162</f>
        <v>0</v>
      </c>
      <c r="E56" s="13">
        <f>Ref_table!E162</f>
        <v>0</v>
      </c>
      <c r="F56" s="13">
        <f>Ref_table!F162</f>
        <v>0</v>
      </c>
      <c r="G56" s="13">
        <f>Ref_table!G162</f>
        <v>0</v>
      </c>
      <c r="H56" s="13">
        <f>Ref_table!H162</f>
        <v>0</v>
      </c>
      <c r="I56" s="15">
        <f>Ref_table!I162</f>
        <v>0</v>
      </c>
      <c r="J56" s="13">
        <f>Ref_table!J162</f>
        <v>0</v>
      </c>
      <c r="K56" s="89">
        <f>Ref_table!K162</f>
        <v>0</v>
      </c>
      <c r="L56" s="229">
        <f>Ref_table!L162</f>
        <v>0</v>
      </c>
      <c r="M56" s="204">
        <f>Ref_table!M162</f>
        <v>0</v>
      </c>
      <c r="N56" s="204">
        <f>Ref_table!N162</f>
        <v>0</v>
      </c>
      <c r="O56" s="26">
        <f>Ref_table!O162</f>
        <v>0</v>
      </c>
      <c r="P56" s="372">
        <f>Ref_table!P162</f>
        <v>0</v>
      </c>
      <c r="Q56" s="367">
        <f>Ref_table!Q162</f>
        <v>0</v>
      </c>
    </row>
    <row r="57" spans="1:17" ht="15">
      <c r="A57" s="56" t="str">
        <f>Ref_table!A163</f>
        <v>C7</v>
      </c>
      <c r="B57" s="64" t="str">
        <f>Ref_table!B163</f>
        <v>Water stress coefficient t1 (~1995), [mean+stdv nb of dry days over 30 years/dry days during growing season t1]</v>
      </c>
      <c r="C57" s="29">
        <f>Ref_table!C163</f>
        <v>0.7</v>
      </c>
      <c r="D57" s="29">
        <f>Ref_table!D163</f>
        <v>0.7</v>
      </c>
      <c r="E57" s="29">
        <f>Ref_table!E163</f>
        <v>0.8</v>
      </c>
      <c r="F57" s="29">
        <f>Ref_table!F163</f>
        <v>0.75</v>
      </c>
      <c r="G57" s="29">
        <f>Ref_table!G163</f>
        <v>0.8</v>
      </c>
      <c r="H57" s="29">
        <f>Ref_table!H163</f>
        <v>0.8</v>
      </c>
      <c r="I57" s="274">
        <f>Ref_table!I163</f>
        <v>0.9514077245078519</v>
      </c>
      <c r="J57" s="29">
        <f>Ref_table!J163</f>
        <v>0.9514077245078519</v>
      </c>
      <c r="K57" s="241">
        <f>Ref_table!K163</f>
        <v>0.9514077245078519</v>
      </c>
      <c r="L57" s="229">
        <f>Ref_table!L163</f>
        <v>0</v>
      </c>
      <c r="M57" s="204">
        <f>Ref_table!M163</f>
        <v>0</v>
      </c>
      <c r="N57" s="204">
        <f>Ref_table!N163</f>
        <v>0</v>
      </c>
      <c r="O57" s="26">
        <f>Ref_table!O163</f>
        <v>0</v>
      </c>
      <c r="P57" s="372">
        <f>Ref_table!P163</f>
        <v>0</v>
      </c>
      <c r="Q57" s="367">
        <f>Ref_table!Q163</f>
        <v>0</v>
      </c>
    </row>
    <row r="58" spans="1:17" ht="15">
      <c r="A58" s="56" t="str">
        <f>Ref_table!A164</f>
        <v>C8</v>
      </c>
      <c r="B58" s="64" t="str">
        <f>Ref_table!B164</f>
        <v>Water stress coefficient t10 (~2005), [mean+stdv nb of dry days over 30 years/dry days during growing season t10]</v>
      </c>
      <c r="C58" s="29">
        <f>Ref_table!C164</f>
        <v>0.7</v>
      </c>
      <c r="D58" s="29">
        <f>Ref_table!D164</f>
        <v>0.7</v>
      </c>
      <c r="E58" s="29">
        <f>Ref_table!E164</f>
        <v>0.7</v>
      </c>
      <c r="F58" s="29">
        <f>Ref_table!F164</f>
        <v>0.7</v>
      </c>
      <c r="G58" s="29">
        <f>Ref_table!G164</f>
        <v>0.7</v>
      </c>
      <c r="H58" s="29">
        <f>Ref_table!H164</f>
        <v>0.7</v>
      </c>
      <c r="I58" s="274">
        <f>Ref_table!I164</f>
        <v>0.8697283467946801</v>
      </c>
      <c r="J58" s="29">
        <f>Ref_table!J164</f>
        <v>0.8697283467946801</v>
      </c>
      <c r="K58" s="241">
        <f>Ref_table!K164</f>
        <v>0.8697283467946801</v>
      </c>
      <c r="L58" s="229">
        <f>Ref_table!L164</f>
        <v>0</v>
      </c>
      <c r="M58" s="204">
        <f>Ref_table!M164</f>
        <v>0</v>
      </c>
      <c r="N58" s="204">
        <f>Ref_table!N164</f>
        <v>0</v>
      </c>
      <c r="O58" s="26">
        <f>Ref_table!O164</f>
        <v>0</v>
      </c>
      <c r="P58" s="372">
        <f>Ref_table!P164</f>
        <v>0</v>
      </c>
      <c r="Q58" s="367">
        <f>Ref_table!Q164</f>
        <v>0</v>
      </c>
    </row>
    <row r="59" spans="1:17" ht="15">
      <c r="A59" s="203">
        <f>Ref_table!A165</f>
        <v>0</v>
      </c>
      <c r="B59" s="13">
        <f>Ref_table!B165</f>
        <v>0</v>
      </c>
      <c r="C59" s="13">
        <f>Ref_table!C165</f>
        <v>0</v>
      </c>
      <c r="D59" s="13">
        <f>Ref_table!D165</f>
        <v>0</v>
      </c>
      <c r="E59" s="13">
        <f>Ref_table!E165</f>
        <v>0</v>
      </c>
      <c r="F59" s="13">
        <f>Ref_table!F165</f>
        <v>0</v>
      </c>
      <c r="G59" s="13">
        <f>Ref_table!G165</f>
        <v>0</v>
      </c>
      <c r="H59" s="13">
        <f>Ref_table!H165</f>
        <v>0</v>
      </c>
      <c r="I59" s="15">
        <f>Ref_table!I165</f>
        <v>0</v>
      </c>
      <c r="J59" s="13">
        <f>Ref_table!J165</f>
        <v>0</v>
      </c>
      <c r="K59" s="89">
        <f>Ref_table!K165</f>
        <v>0</v>
      </c>
      <c r="L59" s="229">
        <f>Ref_table!L165</f>
        <v>0</v>
      </c>
      <c r="M59" s="204">
        <f>Ref_table!M165</f>
        <v>0</v>
      </c>
      <c r="N59" s="204">
        <f>Ref_table!N165</f>
        <v>0</v>
      </c>
      <c r="O59" s="26">
        <f>Ref_table!O165</f>
        <v>0</v>
      </c>
      <c r="P59" s="372">
        <f>Ref_table!P165</f>
        <v>0</v>
      </c>
      <c r="Q59" s="367">
        <f>Ref_table!Q165</f>
        <v>0</v>
      </c>
    </row>
    <row r="60" spans="1:17" ht="15">
      <c r="A60" s="55" t="str">
        <f>Ref_table!A166</f>
        <v>C9</v>
      </c>
      <c r="B60" s="19" t="str">
        <f>Ref_table!B166</f>
        <v>Net Ecosystem Accessible Fresh Water Surplus t1 (~1995), [C5*(1-C7)] 10^6 weighted m^3</v>
      </c>
      <c r="C60" s="48">
        <f>Ref_table!C166</f>
        <v>12929.343390255897</v>
      </c>
      <c r="D60" s="48">
        <f>Ref_table!D166</f>
        <v>73821.00209927885</v>
      </c>
      <c r="E60" s="48">
        <f>Ref_table!E166</f>
        <v>70338.31673868035</v>
      </c>
      <c r="F60" s="48">
        <f>Ref_table!F166</f>
        <v>50840.416620741235</v>
      </c>
      <c r="G60" s="48">
        <f>Ref_table!G166</f>
        <v>17305.776541202857</v>
      </c>
      <c r="H60" s="48">
        <f>Ref_table!H166</f>
        <v>179471.15842803637</v>
      </c>
      <c r="I60" s="272">
        <f>Ref_table!I166</f>
        <v>404706.01381819556</v>
      </c>
      <c r="J60" s="48">
        <f>Ref_table!J166</f>
        <v>404706.01381819556</v>
      </c>
      <c r="K60" s="188">
        <f>Ref_table!K166</f>
        <v>404706.01381819556</v>
      </c>
      <c r="L60" s="484">
        <f>Ref_table!L166</f>
        <v>0</v>
      </c>
      <c r="M60" s="309">
        <f>Ref_table!M166</f>
        <v>0</v>
      </c>
      <c r="N60" s="309">
        <f>Ref_table!N166</f>
        <v>0</v>
      </c>
      <c r="O60" s="25">
        <f>Ref_table!O166</f>
        <v>0</v>
      </c>
      <c r="P60" s="508">
        <f>Ref_table!P166</f>
        <v>0</v>
      </c>
      <c r="Q60" s="99">
        <f>Ref_table!Q166</f>
        <v>0</v>
      </c>
    </row>
    <row r="61" spans="1:17" ht="15">
      <c r="A61" s="55" t="str">
        <f>Ref_table!A167</f>
        <v>C10</v>
      </c>
      <c r="B61" s="19" t="str">
        <f>Ref_table!B167</f>
        <v>Net Ecosystem Accessible Fresh Water Surplus t10 (~2005) [C6*(1-C8)], 10^6 weighted m^3 </v>
      </c>
      <c r="C61" s="48">
        <f>Ref_table!C167</f>
        <v>12523.324242706558</v>
      </c>
      <c r="D61" s="48">
        <f>Ref_table!D167</f>
        <v>72183.96355579018</v>
      </c>
      <c r="E61" s="48">
        <f>Ref_table!E167</f>
        <v>60260.760073767626</v>
      </c>
      <c r="F61" s="48">
        <f>Ref_table!F167</f>
        <v>45972.55665892084</v>
      </c>
      <c r="G61" s="48">
        <f>Ref_table!G167</f>
        <v>14867.798490576357</v>
      </c>
      <c r="H61" s="48">
        <f>Ref_table!H167</f>
        <v>153728.8226475548</v>
      </c>
      <c r="I61" s="272">
        <f>Ref_table!I167</f>
        <v>359537.22566931637</v>
      </c>
      <c r="J61" s="48">
        <f>Ref_table!J167</f>
        <v>359537.22566931637</v>
      </c>
      <c r="K61" s="188">
        <f>Ref_table!K167</f>
        <v>359537.22566931637</v>
      </c>
      <c r="L61" s="484">
        <f>Ref_table!L167</f>
        <v>0</v>
      </c>
      <c r="M61" s="309">
        <f>Ref_table!M167</f>
        <v>0</v>
      </c>
      <c r="N61" s="309">
        <f>Ref_table!N167</f>
        <v>0</v>
      </c>
      <c r="O61" s="25">
        <f>Ref_table!O167</f>
        <v>0</v>
      </c>
      <c r="P61" s="508">
        <f>Ref_table!P167</f>
        <v>0</v>
      </c>
      <c r="Q61" s="99">
        <f>Ref_table!Q167</f>
        <v>0</v>
      </c>
    </row>
    <row r="62" spans="1:17" ht="15">
      <c r="A62" s="63" t="str">
        <f>Ref_table!A168</f>
        <v>C10-C9</v>
      </c>
      <c r="B62" s="119" t="str">
        <f>Ref_table!B168</f>
        <v>Change in Net Ecosystem Accessible Water [C10-C9]</v>
      </c>
      <c r="C62" s="120">
        <f>Ref_table!C168</f>
        <v>-406.0191475493393</v>
      </c>
      <c r="D62" s="120">
        <f>Ref_table!D168</f>
        <v>-1637.0385434886703</v>
      </c>
      <c r="E62" s="120">
        <f>Ref_table!E168</f>
        <v>-10077.556664912729</v>
      </c>
      <c r="F62" s="120">
        <f>Ref_table!F168</f>
        <v>-4867.859961820395</v>
      </c>
      <c r="G62" s="120">
        <f>Ref_table!G168</f>
        <v>-2437.9780506264997</v>
      </c>
      <c r="H62" s="120">
        <f>Ref_table!H168</f>
        <v>-25742.335780481575</v>
      </c>
      <c r="I62" s="273">
        <f>Ref_table!I168</f>
        <v>-45168.78814887921</v>
      </c>
      <c r="J62" s="120">
        <f>Ref_table!J168</f>
        <v>-45168.78814887919</v>
      </c>
      <c r="K62" s="188">
        <f>Ref_table!K168</f>
        <v>-45168.78814887921</v>
      </c>
      <c r="L62" s="392">
        <f>Ref_table!L168</f>
        <v>0</v>
      </c>
      <c r="M62" s="305">
        <f>Ref_table!M168</f>
        <v>0</v>
      </c>
      <c r="N62" s="305">
        <f>Ref_table!N168</f>
        <v>0</v>
      </c>
      <c r="O62" s="313">
        <f>Ref_table!O168</f>
        <v>0</v>
      </c>
      <c r="P62" s="393">
        <f>Ref_table!P168</f>
        <v>0</v>
      </c>
      <c r="Q62" s="368">
        <f>Ref_table!Q168</f>
        <v>0</v>
      </c>
    </row>
    <row r="63" spans="1:17" ht="15">
      <c r="A63" s="55" t="str">
        <f>Ref_table!A169</f>
        <v>C11</v>
      </c>
      <c r="B63" s="118" t="str">
        <f>Ref_table!B169</f>
        <v>Withdrawals of fresh water  t1 (~1995) 10^6 weighted m^3</v>
      </c>
      <c r="C63" s="45">
        <f>Ref_table!C169</f>
        <v>6500.768080985107</v>
      </c>
      <c r="D63" s="45">
        <f>Ref_table!D169</f>
        <v>46797.92819823267</v>
      </c>
      <c r="E63" s="45">
        <f>Ref_table!E169</f>
        <v>12090.292551978951</v>
      </c>
      <c r="F63" s="45">
        <f>Ref_table!F169</f>
        <v>11164.5</v>
      </c>
      <c r="G63" s="45">
        <f>Ref_table!G169</f>
        <v>1526.4</v>
      </c>
      <c r="H63" s="45">
        <f>Ref_table!H169</f>
        <v>11230.2</v>
      </c>
      <c r="I63" s="132">
        <f>Ref_table!I169</f>
        <v>89310.08883119673</v>
      </c>
      <c r="J63" s="48">
        <f>Ref_table!J169</f>
        <v>89310.08883119673</v>
      </c>
      <c r="K63" s="188">
        <f>Ref_table!K169</f>
        <v>89310.08883119673</v>
      </c>
      <c r="L63" s="229">
        <f>Ref_table!L169</f>
        <v>0</v>
      </c>
      <c r="M63" s="204">
        <f>Ref_table!M169</f>
        <v>0</v>
      </c>
      <c r="N63" s="204">
        <f>Ref_table!N169</f>
        <v>0</v>
      </c>
      <c r="O63" s="26">
        <f>Ref_table!O169</f>
        <v>0</v>
      </c>
      <c r="P63" s="372">
        <f>Ref_table!P169</f>
        <v>0</v>
      </c>
      <c r="Q63" s="99">
        <f>Ref_table!Q169</f>
        <v>0</v>
      </c>
    </row>
    <row r="64" spans="1:17" ht="15">
      <c r="A64" s="55" t="str">
        <f>Ref_table!A170</f>
        <v>C12</v>
      </c>
      <c r="B64" s="5" t="str">
        <f>Ref_table!B170</f>
        <v>Withdrawals of fresh water  t10 (~2005) 10^6 weighted m^3</v>
      </c>
      <c r="C64" s="4">
        <f>Ref_table!C170</f>
        <v>7223.075645539007</v>
      </c>
      <c r="D64" s="4">
        <f>Ref_table!D170</f>
        <v>51997.6979980363</v>
      </c>
      <c r="E64" s="4">
        <f>Ref_table!E170</f>
        <v>13433.658391087723</v>
      </c>
      <c r="F64" s="4">
        <f>Ref_table!F170</f>
        <v>12405</v>
      </c>
      <c r="G64" s="4">
        <f>Ref_table!G170</f>
        <v>1696</v>
      </c>
      <c r="H64" s="4">
        <f>Ref_table!H170</f>
        <v>12478</v>
      </c>
      <c r="I64" s="132">
        <f>Ref_table!I170</f>
        <v>99233.43203466304</v>
      </c>
      <c r="J64" s="48">
        <f>Ref_table!J170</f>
        <v>99233.43203466304</v>
      </c>
      <c r="K64" s="188">
        <f>Ref_table!K170</f>
        <v>99233.43203466304</v>
      </c>
      <c r="L64" s="229">
        <f>Ref_table!L170</f>
        <v>0</v>
      </c>
      <c r="M64" s="204">
        <f>Ref_table!M170</f>
        <v>0</v>
      </c>
      <c r="N64" s="204">
        <f>Ref_table!N170</f>
        <v>0</v>
      </c>
      <c r="O64" s="26">
        <f>Ref_table!O170</f>
        <v>0</v>
      </c>
      <c r="P64" s="372">
        <f>Ref_table!P170</f>
        <v>0</v>
      </c>
      <c r="Q64" s="99">
        <f>Ref_table!Q170</f>
        <v>0</v>
      </c>
    </row>
    <row r="65" spans="1:17" ht="15">
      <c r="A65" s="203">
        <f>Ref_table!A171</f>
        <v>0</v>
      </c>
      <c r="B65" s="13">
        <f>Ref_table!B171</f>
        <v>0</v>
      </c>
      <c r="C65" s="13">
        <f>Ref_table!C171</f>
        <v>0</v>
      </c>
      <c r="D65" s="13">
        <f>Ref_table!D171</f>
        <v>0</v>
      </c>
      <c r="E65" s="13">
        <f>Ref_table!E171</f>
        <v>0</v>
      </c>
      <c r="F65" s="13">
        <f>Ref_table!F171</f>
        <v>0</v>
      </c>
      <c r="G65" s="13">
        <f>Ref_table!G171</f>
        <v>0</v>
      </c>
      <c r="H65" s="13">
        <f>Ref_table!H171</f>
        <v>0</v>
      </c>
      <c r="I65" s="15">
        <f>Ref_table!I171</f>
        <v>0</v>
      </c>
      <c r="J65" s="13">
        <f>Ref_table!J171</f>
        <v>0</v>
      </c>
      <c r="K65" s="89">
        <f>Ref_table!K171</f>
        <v>0</v>
      </c>
      <c r="L65" s="229">
        <f>Ref_table!L171</f>
        <v>0</v>
      </c>
      <c r="M65" s="204">
        <f>Ref_table!M171</f>
        <v>0</v>
      </c>
      <c r="N65" s="204">
        <f>Ref_table!N171</f>
        <v>0</v>
      </c>
      <c r="O65" s="26">
        <f>Ref_table!O171</f>
        <v>0</v>
      </c>
      <c r="P65" s="372">
        <f>Ref_table!P171</f>
        <v>0</v>
      </c>
      <c r="Q65" s="367">
        <f>Ref_table!Q171</f>
        <v>0</v>
      </c>
    </row>
    <row r="66" spans="1:17" ht="15">
      <c r="A66" s="73" t="str">
        <f>Ref_table!A172</f>
        <v>C13</v>
      </c>
      <c r="B66" s="64" t="str">
        <f>Ref_table!B172</f>
        <v>Ecosystem Accessible Water Surplus index t1 (~1995), [((C11-C9)/C9))*100]</v>
      </c>
      <c r="C66" s="58">
        <f>Ref_table!C172</f>
        <v>49.72081810523834</v>
      </c>
      <c r="D66" s="58">
        <f>Ref_table!D172</f>
        <v>36.60621385863057</v>
      </c>
      <c r="E66" s="58">
        <f>Ref_table!E172</f>
        <v>82.81122848461588</v>
      </c>
      <c r="F66" s="58">
        <f>Ref_table!F172</f>
        <v>78.04010914527942</v>
      </c>
      <c r="G66" s="58">
        <f>Ref_table!G172</f>
        <v>91.1798237058832</v>
      </c>
      <c r="H66" s="58">
        <f>Ref_table!H172</f>
        <v>93.7426157504282</v>
      </c>
      <c r="I66" s="276">
        <f>Ref_table!I172</f>
        <v>77.93210731202103</v>
      </c>
      <c r="J66" s="58">
        <f>Ref_table!J172</f>
        <v>77.93210731202103</v>
      </c>
      <c r="K66" s="194">
        <f>Ref_table!K172</f>
        <v>77.93210731202103</v>
      </c>
      <c r="L66" s="380">
        <f>Ref_table!L172</f>
        <v>0</v>
      </c>
      <c r="M66" s="314">
        <f>Ref_table!M172</f>
        <v>0</v>
      </c>
      <c r="N66" s="314">
        <f>Ref_table!N172</f>
        <v>0</v>
      </c>
      <c r="O66" s="381">
        <f>Ref_table!O172</f>
        <v>0</v>
      </c>
      <c r="P66" s="382">
        <f>Ref_table!P172</f>
        <v>0</v>
      </c>
      <c r="Q66" s="368">
        <f>Ref_table!Q172</f>
        <v>0</v>
      </c>
    </row>
    <row r="67" spans="1:17" ht="15.75" thickBot="1">
      <c r="A67" s="74" t="str">
        <f>Ref_table!A173</f>
        <v>C14</v>
      </c>
      <c r="B67" s="207" t="str">
        <f>Ref_table!B173</f>
        <v>Ecosystem Accessible Water Surplus index t10 (~2005), [((C12-C10)/C10))*100]</v>
      </c>
      <c r="C67" s="290">
        <f>Ref_table!C173</f>
        <v>42.323016592454316</v>
      </c>
      <c r="D67" s="290">
        <f>Ref_table!D173</f>
        <v>27.96502791392459</v>
      </c>
      <c r="E67" s="290">
        <f>Ref_table!E173</f>
        <v>77.7074527857879</v>
      </c>
      <c r="F67" s="290">
        <f>Ref_table!F173</f>
        <v>73.01651049769744</v>
      </c>
      <c r="G67" s="290">
        <f>Ref_table!G173</f>
        <v>88.59279670036572</v>
      </c>
      <c r="H67" s="290">
        <f>Ref_table!H173</f>
        <v>91.88310963090663</v>
      </c>
      <c r="I67" s="291">
        <f>Ref_table!I173</f>
        <v>72.3996779888565</v>
      </c>
      <c r="J67" s="290">
        <f>Ref_table!J173</f>
        <v>72.3996779888565</v>
      </c>
      <c r="K67" s="292">
        <f>Ref_table!K173</f>
        <v>72.3996779888565</v>
      </c>
      <c r="L67" s="383">
        <f>Ref_table!L173</f>
        <v>0</v>
      </c>
      <c r="M67" s="337">
        <f>Ref_table!M173</f>
        <v>0</v>
      </c>
      <c r="N67" s="337">
        <f>Ref_table!N173</f>
        <v>0</v>
      </c>
      <c r="O67" s="384">
        <f>Ref_table!O173</f>
        <v>0</v>
      </c>
      <c r="P67" s="385">
        <f>Ref_table!P173</f>
        <v>0</v>
      </c>
      <c r="Q67" s="369">
        <f>Ref_table!Q173</f>
        <v>0</v>
      </c>
    </row>
    <row r="68" ht="15">
      <c r="A68" s="93"/>
    </row>
    <row r="69" ht="15">
      <c r="A69" s="93"/>
    </row>
    <row r="70" ht="15">
      <c r="A70" s="93"/>
    </row>
    <row r="71" ht="15">
      <c r="A71" s="93"/>
    </row>
    <row r="72" ht="15">
      <c r="A72" s="93"/>
    </row>
  </sheetData>
  <sheetProtection/>
  <mergeCells count="8">
    <mergeCell ref="A25:K25"/>
    <mergeCell ref="A52:K52"/>
    <mergeCell ref="A3:B4"/>
    <mergeCell ref="C3:J3"/>
    <mergeCell ref="K3:K4"/>
    <mergeCell ref="L3:O3"/>
    <mergeCell ref="Q3:Q4"/>
    <mergeCell ref="A5:K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58"/>
  <sheetViews>
    <sheetView showZeros="0" zoomScale="60" zoomScaleNormal="60" zoomScalePageLayoutView="0" workbookViewId="0" topLeftCell="A1">
      <selection activeCell="A36" sqref="A36:K36"/>
    </sheetView>
  </sheetViews>
  <sheetFormatPr defaultColWidth="9.140625" defaultRowHeight="15"/>
  <cols>
    <col min="1" max="1" width="15.8515625" style="0" customWidth="1"/>
    <col min="2" max="2" width="99.7109375" style="0" customWidth="1"/>
    <col min="3" max="3" width="12.421875" style="0" customWidth="1"/>
    <col min="4" max="4" width="13.7109375" style="0" customWidth="1"/>
    <col min="5" max="5" width="14.8515625" style="0" customWidth="1"/>
    <col min="6" max="6" width="11.7109375" style="0" customWidth="1"/>
    <col min="7" max="7" width="13.8515625" style="0" customWidth="1"/>
    <col min="8" max="9" width="12.57421875" style="0" customWidth="1"/>
    <col min="10" max="10" width="14.140625" style="0" customWidth="1"/>
    <col min="11" max="11" width="15.00390625" style="0" customWidth="1"/>
    <col min="12" max="12" width="12.00390625" style="0" customWidth="1"/>
    <col min="13" max="13" width="14.140625" style="0" customWidth="1"/>
    <col min="14" max="14" width="12.00390625" style="0" customWidth="1"/>
    <col min="15" max="15" width="12.7109375" style="0" customWidth="1"/>
    <col min="16" max="17" width="17.7109375" style="0" customWidth="1"/>
  </cols>
  <sheetData>
    <row r="1" ht="15">
      <c r="A1" t="str">
        <f>'Table C - Water'!A1</f>
        <v>SECA - Simplified Ecosystem Capital Accounts</v>
      </c>
    </row>
    <row r="2" ht="15.75" thickBot="1">
      <c r="A2" s="93" t="str">
        <f>'Table C - Water'!A2</f>
        <v>Draft Tables and Mock-up</v>
      </c>
    </row>
    <row r="3" spans="1:17" ht="15">
      <c r="A3" s="1036" t="str">
        <f>Ref_table!A175</f>
        <v>[D] Landscape green infrastructure accounts:                                                                                     Landscape Ecosystem Potential (LEP), Green Accessible Landscape Infrastructure (GALI)                                       &amp; Rivers Ecosystem Potential (REP) </v>
      </c>
      <c r="B3" s="1037">
        <f>Ref_table!B175</f>
        <v>0</v>
      </c>
      <c r="C3" s="1101" t="str">
        <f>Ref_table!C175</f>
        <v>Inland ecosytem landscapes</v>
      </c>
      <c r="D3" s="1102">
        <f>Ref_table!D175</f>
        <v>0</v>
      </c>
      <c r="E3" s="1102">
        <f>Ref_table!E175</f>
        <v>0</v>
      </c>
      <c r="F3" s="1102">
        <f>Ref_table!F175</f>
        <v>0</v>
      </c>
      <c r="G3" s="1102">
        <f>Ref_table!G175</f>
        <v>0</v>
      </c>
      <c r="H3" s="1102">
        <f>Ref_table!H175</f>
        <v>0</v>
      </c>
      <c r="I3" s="1102">
        <f>Ref_table!I175</f>
        <v>0</v>
      </c>
      <c r="J3" s="1103">
        <f>Ref_table!J175</f>
        <v>0</v>
      </c>
      <c r="K3" s="1048" t="str">
        <f>Ref_table!K175</f>
        <v>TOTAL 1 inland ecosystems</v>
      </c>
      <c r="L3" s="1098" t="str">
        <f>Ref_table!L175</f>
        <v>Sea</v>
      </c>
      <c r="M3" s="1097">
        <f>Ref_table!M175</f>
        <v>0</v>
      </c>
      <c r="N3" s="1097">
        <f>Ref_table!N175</f>
        <v>0</v>
      </c>
      <c r="O3" s="1099">
        <f>Ref_table!O175</f>
        <v>0</v>
      </c>
      <c r="P3" s="370" t="str">
        <f>Ref_table!P175</f>
        <v>Atmosphere</v>
      </c>
      <c r="Q3" s="1053" t="str">
        <f>Ref_table!Q175</f>
        <v>GRAND TOTAL</v>
      </c>
    </row>
    <row r="4" spans="1:17" ht="105.75" thickBot="1">
      <c r="A4" s="1040">
        <f>Ref_table!A176</f>
        <v>0</v>
      </c>
      <c r="B4" s="1041">
        <f>Ref_table!B176</f>
        <v>0</v>
      </c>
      <c r="C4" s="193" t="str">
        <f>Ref_table!C176</f>
        <v>Dominant urban landscape</v>
      </c>
      <c r="D4" s="193" t="str">
        <f>Ref_table!D176</f>
        <v>Dominant agriculture/ cropland</v>
      </c>
      <c r="E4" s="193" t="str">
        <f>Ref_table!E176</f>
        <v>Dominant agriculture/ mixed landscape</v>
      </c>
      <c r="F4" s="193" t="str">
        <f>Ref_table!F176</f>
        <v>Dominant forested landscape</v>
      </c>
      <c r="G4" s="193" t="str">
        <f>Ref_table!G176</f>
        <v>Other dominant natural landscape</v>
      </c>
      <c r="H4" s="193" t="str">
        <f>Ref_table!H176</f>
        <v>Composite landscape</v>
      </c>
      <c r="I4" s="153" t="str">
        <f>Ref_table!I176</f>
        <v>TOT Land</v>
      </c>
      <c r="J4" s="193" t="str">
        <f>Ref_table!J176</f>
        <v>Rivers - srkm</v>
      </c>
      <c r="K4" s="1049">
        <f>Ref_table!K176</f>
        <v>0</v>
      </c>
      <c r="L4" s="353" t="str">
        <f>Ref_table!L176</f>
        <v>Fisheries (EEZ, all fishing areas)</v>
      </c>
      <c r="M4" s="152" t="str">
        <f>Ref_table!M176</f>
        <v>International</v>
      </c>
      <c r="N4" s="354" t="str">
        <f>Ref_table!N176</f>
        <v>TOTAL  Fisheries</v>
      </c>
      <c r="O4" s="371" t="str">
        <f>Ref_table!O176</f>
        <v>Regulation potential (C assimilation)</v>
      </c>
      <c r="P4" s="371" t="str">
        <f>Ref_table!P176</f>
        <v>Regulation potential (C assimilation)</v>
      </c>
      <c r="Q4" s="1054">
        <f>Ref_table!Q176</f>
        <v>0</v>
      </c>
    </row>
    <row r="5" spans="1:17" ht="15.75">
      <c r="A5" s="1111" t="str">
        <f>Ref_table!A177</f>
        <v>Landscape Ecosystem Potential</v>
      </c>
      <c r="B5" s="1060">
        <f>Ref_table!B177</f>
        <v>0</v>
      </c>
      <c r="C5" s="1060">
        <f>Ref_table!C177</f>
        <v>0</v>
      </c>
      <c r="D5" s="1060">
        <f>Ref_table!D177</f>
        <v>0</v>
      </c>
      <c r="E5" s="1060">
        <f>Ref_table!E177</f>
        <v>0</v>
      </c>
      <c r="F5" s="1060">
        <f>Ref_table!F177</f>
        <v>0</v>
      </c>
      <c r="G5" s="1060">
        <f>Ref_table!G177</f>
        <v>0</v>
      </c>
      <c r="H5" s="1060">
        <f>Ref_table!H177</f>
        <v>0</v>
      </c>
      <c r="I5" s="1060">
        <f>Ref_table!I177</f>
        <v>0</v>
      </c>
      <c r="J5" s="1060">
        <f>Ref_table!J177</f>
        <v>0</v>
      </c>
      <c r="K5" s="1061">
        <f>Ref_table!K177</f>
        <v>0</v>
      </c>
      <c r="L5" s="375">
        <f>Ref_table!L177</f>
        <v>0</v>
      </c>
      <c r="M5" s="376">
        <f>Ref_table!M177</f>
        <v>0</v>
      </c>
      <c r="N5" s="376">
        <f>Ref_table!N177</f>
        <v>0</v>
      </c>
      <c r="O5" s="377">
        <f>Ref_table!O177</f>
        <v>0</v>
      </c>
      <c r="P5" s="378">
        <f>Ref_table!P177</f>
        <v>0</v>
      </c>
      <c r="Q5" s="379">
        <f>Ref_table!Q177</f>
        <v>0</v>
      </c>
    </row>
    <row r="6" spans="1:17" ht="15.75">
      <c r="A6" s="573" t="str">
        <f>Ref_table!A178</f>
        <v>D1</v>
      </c>
      <c r="B6" s="574" t="str">
        <f>Ref_table!B178</f>
        <v>Green Background Landscape Index  2000, 5 km smoothing, 10^3 points-km^2, 0-100 scale</v>
      </c>
      <c r="C6" s="410">
        <f>Ref_table!C178</f>
        <v>6561.79921873</v>
      </c>
      <c r="D6" s="410">
        <f>Ref_table!D178</f>
        <v>8307.893703238002</v>
      </c>
      <c r="E6" s="410">
        <f>Ref_table!E178</f>
        <v>16368.810441461997</v>
      </c>
      <c r="F6" s="410">
        <f>Ref_table!F178</f>
        <v>14988.374435261252</v>
      </c>
      <c r="G6" s="410">
        <f>Ref_table!G178</f>
        <v>24757.985339639203</v>
      </c>
      <c r="H6" s="410">
        <f>Ref_table!H178</f>
        <v>16535.217464102836</v>
      </c>
      <c r="I6" s="410">
        <f>Ref_table!I178</f>
        <v>87520.08060243329</v>
      </c>
      <c r="J6" s="589">
        <f>Ref_table!J178</f>
        <v>0</v>
      </c>
      <c r="K6" s="410">
        <f>Ref_table!K178</f>
        <v>87520.08060243329</v>
      </c>
      <c r="L6" s="578">
        <f>Ref_table!L178</f>
        <v>0</v>
      </c>
      <c r="M6" s="579">
        <f>Ref_table!M178</f>
        <v>0</v>
      </c>
      <c r="N6" s="579">
        <f>Ref_table!N178</f>
        <v>0</v>
      </c>
      <c r="O6" s="580">
        <f>Ref_table!O178</f>
        <v>0</v>
      </c>
      <c r="P6" s="581">
        <f>Ref_table!P178</f>
        <v>0</v>
      </c>
      <c r="Q6" s="374">
        <f>Ref_table!Q178</f>
        <v>0</v>
      </c>
    </row>
    <row r="7" spans="1:17" ht="15">
      <c r="A7" s="576" t="str">
        <f>Ref_table!A179</f>
        <v>d11</v>
      </c>
      <c r="B7" s="585" t="str">
        <f>Ref_table!B179</f>
        <v>Mean GBL_P per km^2</v>
      </c>
      <c r="C7" s="58">
        <f>Ref_table!C179</f>
        <v>18.683401242532604</v>
      </c>
      <c r="D7" s="58">
        <f>Ref_table!D179</f>
        <v>10.992112797823683</v>
      </c>
      <c r="E7" s="58">
        <f>Ref_table!E179</f>
        <v>27.69250130260984</v>
      </c>
      <c r="F7" s="58">
        <f>Ref_table!F179</f>
        <v>22.017115860519638</v>
      </c>
      <c r="G7" s="58">
        <f>Ref_table!G179</f>
        <v>57.17895862878689</v>
      </c>
      <c r="H7" s="58">
        <f>Ref_table!H179</f>
        <v>10.92952180087889</v>
      </c>
      <c r="I7" s="58">
        <f>Ref_table!I179</f>
        <v>20.23701219141126</v>
      </c>
      <c r="J7" s="577">
        <f>Ref_table!J179</f>
        <v>0</v>
      </c>
      <c r="K7" s="58">
        <f>Ref_table!K179</f>
        <v>20.23701219141126</v>
      </c>
      <c r="L7" s="578">
        <f>Ref_table!L179</f>
        <v>0</v>
      </c>
      <c r="M7" s="579">
        <f>Ref_table!M179</f>
        <v>0</v>
      </c>
      <c r="N7" s="579">
        <f>Ref_table!N179</f>
        <v>0</v>
      </c>
      <c r="O7" s="580">
        <f>Ref_table!O179</f>
        <v>0</v>
      </c>
      <c r="P7" s="581">
        <f>Ref_table!P179</f>
        <v>0</v>
      </c>
      <c r="Q7" s="374">
        <f>Ref_table!Q179</f>
        <v>0</v>
      </c>
    </row>
    <row r="8" spans="1:17" ht="15">
      <c r="A8" s="576" t="str">
        <f>Ref_table!A180</f>
        <v>d12</v>
      </c>
      <c r="B8" s="588" t="str">
        <f>Ref_table!B180</f>
        <v>GBLI change 1990-2006</v>
      </c>
      <c r="C8" s="240">
        <f>Ref_table!C180</f>
        <v>-186.09</v>
      </c>
      <c r="D8" s="240">
        <f>Ref_table!D180</f>
        <v>172.32075</v>
      </c>
      <c r="E8" s="240">
        <f>Ref_table!E180</f>
        <v>-338.660333333333</v>
      </c>
      <c r="F8" s="240">
        <f>Ref_table!F180</f>
        <v>14.7605</v>
      </c>
      <c r="G8" s="240">
        <f>Ref_table!G180</f>
        <v>-9.54056</v>
      </c>
      <c r="H8" s="240">
        <f>Ref_table!H180</f>
        <v>-36.8200555555555</v>
      </c>
      <c r="I8" s="240">
        <f>Ref_table!I180</f>
        <v>-384.0296988888885</v>
      </c>
      <c r="J8" s="577">
        <f>Ref_table!J180</f>
        <v>0</v>
      </c>
      <c r="K8" s="240">
        <f>Ref_table!K180</f>
        <v>-384.0296988888885</v>
      </c>
      <c r="L8" s="578">
        <f>Ref_table!L180</f>
        <v>0</v>
      </c>
      <c r="M8" s="579">
        <f>Ref_table!M180</f>
        <v>0</v>
      </c>
      <c r="N8" s="579">
        <f>Ref_table!N180</f>
        <v>0</v>
      </c>
      <c r="O8" s="580">
        <f>Ref_table!O180</f>
        <v>0</v>
      </c>
      <c r="P8" s="581">
        <f>Ref_table!P180</f>
        <v>0</v>
      </c>
      <c r="Q8" s="374">
        <f>Ref_table!Q180</f>
        <v>0</v>
      </c>
    </row>
    <row r="9" spans="1:17" ht="15">
      <c r="A9" s="576" t="str">
        <f>Ref_table!A181</f>
        <v>d13</v>
      </c>
      <c r="B9" s="585" t="str">
        <f>Ref_table!B181</f>
        <v>Mean change</v>
      </c>
      <c r="C9" s="740">
        <f>Ref_table!C181</f>
        <v>-0.028359599828782434</v>
      </c>
      <c r="D9" s="740">
        <f>Ref_table!D181</f>
        <v>0.020741809675879457</v>
      </c>
      <c r="E9" s="740">
        <f>Ref_table!E181</f>
        <v>-0.020689367412766325</v>
      </c>
      <c r="F9" s="740">
        <f>Ref_table!F181</f>
        <v>0.0009847965877657046</v>
      </c>
      <c r="G9" s="740">
        <f>Ref_table!G181</f>
        <v>-0.00038535284148201346</v>
      </c>
      <c r="H9" s="740">
        <f>Ref_table!H181</f>
        <v>-0.0022267657280885525</v>
      </c>
      <c r="I9" s="740">
        <f>Ref_table!I181</f>
        <v>-0.0043879038529840144</v>
      </c>
      <c r="J9" s="577">
        <f>Ref_table!J181</f>
        <v>0</v>
      </c>
      <c r="K9" s="591">
        <f>Ref_table!K181</f>
        <v>-0.0043879038529840144</v>
      </c>
      <c r="L9" s="578">
        <f>Ref_table!L181</f>
        <v>0</v>
      </c>
      <c r="M9" s="579">
        <f>Ref_table!M181</f>
        <v>0</v>
      </c>
      <c r="N9" s="579">
        <f>Ref_table!N181</f>
        <v>0</v>
      </c>
      <c r="O9" s="580">
        <f>Ref_table!O181</f>
        <v>0</v>
      </c>
      <c r="P9" s="581">
        <f>Ref_table!P181</f>
        <v>0</v>
      </c>
      <c r="Q9" s="374">
        <f>Ref_table!Q181</f>
        <v>0</v>
      </c>
    </row>
    <row r="10" spans="1:17" ht="15.75">
      <c r="A10" s="573" t="str">
        <f>Ref_table!A182</f>
        <v>D2</v>
      </c>
      <c r="B10" s="574" t="str">
        <f>Ref_table!B182</f>
        <v>Effective Mesh Size index (ln MEFF), 10^3 points-km^2, 0-100 scale</v>
      </c>
      <c r="C10" s="410">
        <f>Ref_table!C182</f>
        <v>281.302</v>
      </c>
      <c r="D10" s="410">
        <f>Ref_table!D182</f>
        <v>66616</v>
      </c>
      <c r="E10" s="410">
        <f>Ref_table!E182</f>
        <v>16862.06666666667</v>
      </c>
      <c r="F10" s="410">
        <f>Ref_table!F182</f>
        <v>60908.5</v>
      </c>
      <c r="G10" s="410">
        <f>Ref_table!G182</f>
        <v>14355.26</v>
      </c>
      <c r="H10" s="410">
        <f>Ref_table!H182</f>
        <v>27073.333333333332</v>
      </c>
      <c r="I10" s="410">
        <f>Ref_table!I182</f>
        <v>186096.46200000003</v>
      </c>
      <c r="J10" s="589">
        <f>Ref_table!J182</f>
        <v>0</v>
      </c>
      <c r="K10" s="410">
        <f>Ref_table!K182</f>
        <v>186096.46200000003</v>
      </c>
      <c r="L10" s="578">
        <f>Ref_table!L182</f>
        <v>0</v>
      </c>
      <c r="M10" s="579">
        <f>Ref_table!M182</f>
        <v>0</v>
      </c>
      <c r="N10" s="579">
        <f>Ref_table!N182</f>
        <v>0</v>
      </c>
      <c r="O10" s="580">
        <f>Ref_table!O182</f>
        <v>0</v>
      </c>
      <c r="P10" s="581">
        <f>Ref_table!P182</f>
        <v>0</v>
      </c>
      <c r="Q10" s="374">
        <f>Ref_table!Q182</f>
        <v>0</v>
      </c>
    </row>
    <row r="11" spans="1:17" ht="15">
      <c r="A11" s="576" t="str">
        <f>Ref_table!A183</f>
        <v>d21</v>
      </c>
      <c r="B11" s="585" t="str">
        <f>Ref_table!B183</f>
        <v>Mean MEFF_P per km^2</v>
      </c>
      <c r="C11" s="58">
        <f>Ref_table!C183</f>
        <v>0.800950769923758</v>
      </c>
      <c r="D11" s="58">
        <f>Ref_table!D183</f>
        <v>88.13913758362459</v>
      </c>
      <c r="E11" s="58">
        <f>Ref_table!E183</f>
        <v>28.52698458457158</v>
      </c>
      <c r="F11" s="58">
        <f>Ref_table!F183</f>
        <v>89.47131039344666</v>
      </c>
      <c r="G11" s="58">
        <f>Ref_table!G183</f>
        <v>33.15369996327177</v>
      </c>
      <c r="H11" s="58">
        <f>Ref_table!H183</f>
        <v>17.895052637288227</v>
      </c>
      <c r="I11" s="58">
        <f>Ref_table!I183</f>
        <v>43.0305404696782</v>
      </c>
      <c r="J11" s="577">
        <f>Ref_table!J183</f>
        <v>0</v>
      </c>
      <c r="K11" s="591">
        <f>Ref_table!K183</f>
        <v>43.0305404696782</v>
      </c>
      <c r="L11" s="578">
        <f>Ref_table!L183</f>
        <v>0</v>
      </c>
      <c r="M11" s="579">
        <f>Ref_table!M183</f>
        <v>0</v>
      </c>
      <c r="N11" s="579">
        <f>Ref_table!N183</f>
        <v>0</v>
      </c>
      <c r="O11" s="580">
        <f>Ref_table!O183</f>
        <v>0</v>
      </c>
      <c r="P11" s="581">
        <f>Ref_table!P183</f>
        <v>0</v>
      </c>
      <c r="Q11" s="374">
        <f>Ref_table!Q183</f>
        <v>0</v>
      </c>
    </row>
    <row r="12" spans="1:17" ht="15.75">
      <c r="A12" s="573" t="str">
        <f>Ref_table!A184</f>
        <v>D3</v>
      </c>
      <c r="B12" s="574" t="str">
        <f>Ref_table!B184</f>
        <v>Stated Social Nature Value index (Naturilis), 10^3 points-km^2, 0-100 scale</v>
      </c>
      <c r="C12" s="410">
        <f>Ref_table!C184</f>
        <v>2224.2119052276003</v>
      </c>
      <c r="D12" s="410">
        <f>Ref_table!D184</f>
        <v>6883.482677369602</v>
      </c>
      <c r="E12" s="410">
        <f>Ref_table!E184</f>
        <v>6623.020854197</v>
      </c>
      <c r="F12" s="410">
        <f>Ref_table!F184</f>
        <v>14658.883575609</v>
      </c>
      <c r="G12" s="410">
        <f>Ref_table!G184</f>
        <v>25394.217414108</v>
      </c>
      <c r="H12" s="410">
        <f>Ref_table!H184</f>
        <v>27836.319841267006</v>
      </c>
      <c r="I12" s="410">
        <f>Ref_table!I184</f>
        <v>83620.1362677782</v>
      </c>
      <c r="J12" s="589">
        <f>Ref_table!J184</f>
        <v>0</v>
      </c>
      <c r="K12" s="410">
        <f>Ref_table!K184</f>
        <v>83620.1362677782</v>
      </c>
      <c r="L12" s="578">
        <f>Ref_table!L184</f>
        <v>0</v>
      </c>
      <c r="M12" s="579">
        <f>Ref_table!M184</f>
        <v>0</v>
      </c>
      <c r="N12" s="579">
        <f>Ref_table!N184</f>
        <v>0</v>
      </c>
      <c r="O12" s="580">
        <f>Ref_table!O184</f>
        <v>0</v>
      </c>
      <c r="P12" s="581">
        <f>Ref_table!P184</f>
        <v>0</v>
      </c>
      <c r="Q12" s="374">
        <f>Ref_table!Q184</f>
        <v>0</v>
      </c>
    </row>
    <row r="13" spans="1:17" ht="15">
      <c r="A13" s="576" t="str">
        <f>Ref_table!A185</f>
        <v>d31</v>
      </c>
      <c r="B13" s="582" t="str">
        <f>Ref_table!B185</f>
        <v>Mean NAT_P per km^2</v>
      </c>
      <c r="C13" s="43">
        <f>Ref_table!C185</f>
        <v>6.3329952789729</v>
      </c>
      <c r="D13" s="43">
        <f>Ref_table!D185</f>
        <v>9.107485089996036</v>
      </c>
      <c r="E13" s="43">
        <f>Ref_table!E185</f>
        <v>11.20472463701408</v>
      </c>
      <c r="F13" s="43">
        <f>Ref_table!F185</f>
        <v>21.533111510129295</v>
      </c>
      <c r="G13" s="43">
        <f>Ref_table!G185</f>
        <v>58.648346665224295</v>
      </c>
      <c r="H13" s="43">
        <f>Ref_table!H185</f>
        <v>18.39937486288588</v>
      </c>
      <c r="I13" s="43">
        <f>Ref_table!I185</f>
        <v>19.335239472476562</v>
      </c>
      <c r="J13" s="577">
        <f>Ref_table!J185</f>
        <v>0</v>
      </c>
      <c r="K13" s="43">
        <f>Ref_table!K185</f>
        <v>19.335239472476562</v>
      </c>
      <c r="L13" s="578">
        <f>Ref_table!L185</f>
        <v>0</v>
      </c>
      <c r="M13" s="579">
        <f>Ref_table!M185</f>
        <v>0</v>
      </c>
      <c r="N13" s="579">
        <f>Ref_table!N185</f>
        <v>0</v>
      </c>
      <c r="O13" s="580">
        <f>Ref_table!O185</f>
        <v>0</v>
      </c>
      <c r="P13" s="581">
        <f>Ref_table!P185</f>
        <v>0</v>
      </c>
      <c r="Q13" s="374">
        <f>Ref_table!Q185</f>
        <v>0</v>
      </c>
    </row>
    <row r="14" spans="1:17" ht="15.75">
      <c r="A14" s="573" t="str">
        <f>Ref_table!A186</f>
        <v>D4</v>
      </c>
      <c r="B14" s="574" t="str">
        <f>Ref_table!B186</f>
        <v>Landscape Ecosystem Potential (LEP = f(GBLI, Naturlis, ln MEFF)) t1 (~1995), 10^3 points-km^2, 0-100 scale</v>
      </c>
      <c r="C14" s="410">
        <f>Ref_table!C186</f>
        <v>987.9339362462721</v>
      </c>
      <c r="D14" s="410">
        <f>Ref_table!D186</f>
        <v>16289.845649408464</v>
      </c>
      <c r="E14" s="410">
        <f>Ref_table!E186</f>
        <v>11990.645413019434</v>
      </c>
      <c r="F14" s="410">
        <f>Ref_table!F186</f>
        <v>21343.877813407606</v>
      </c>
      <c r="G14" s="410">
        <f>Ref_table!G186</f>
        <v>13335.690665005259</v>
      </c>
      <c r="H14" s="410">
        <f>Ref_table!H186</f>
        <v>14994.321771081208</v>
      </c>
      <c r="I14" s="410">
        <f>Ref_table!I186</f>
        <v>79346.28908397492</v>
      </c>
      <c r="J14" s="589">
        <f>Ref_table!J186</f>
        <v>0</v>
      </c>
      <c r="K14" s="410">
        <f>Ref_table!K186</f>
        <v>79346.28908397492</v>
      </c>
      <c r="L14" s="578">
        <f>Ref_table!L186</f>
        <v>0</v>
      </c>
      <c r="M14" s="579">
        <f>Ref_table!M186</f>
        <v>0</v>
      </c>
      <c r="N14" s="579">
        <f>Ref_table!N186</f>
        <v>0</v>
      </c>
      <c r="O14" s="580">
        <f>Ref_table!O186</f>
        <v>0</v>
      </c>
      <c r="P14" s="581">
        <f>Ref_table!P186</f>
        <v>0</v>
      </c>
      <c r="Q14" s="374">
        <f>Ref_table!Q186</f>
        <v>0</v>
      </c>
    </row>
    <row r="15" spans="1:17" ht="15">
      <c r="A15" s="576" t="str">
        <f>Ref_table!A187</f>
        <v>d41</v>
      </c>
      <c r="B15" s="582" t="str">
        <f>Ref_table!B187</f>
        <v>Mean LEP_P per km^2</v>
      </c>
      <c r="C15" s="43">
        <f>Ref_table!C187</f>
        <v>2.8129428403291143</v>
      </c>
      <c r="D15" s="43">
        <f>Ref_table!D187</f>
        <v>21.552974464231127</v>
      </c>
      <c r="E15" s="43">
        <f>Ref_table!E187</f>
        <v>20.28558916401722</v>
      </c>
      <c r="F15" s="43">
        <f>Ref_table!F187</f>
        <v>31.35300847735852</v>
      </c>
      <c r="G15" s="43">
        <f>Ref_table!G187</f>
        <v>30.798988462109953</v>
      </c>
      <c r="H15" s="43">
        <f>Ref_table!H187</f>
        <v>9.911013691970023</v>
      </c>
      <c r="I15" s="43">
        <f>Ref_table!I187</f>
        <v>18.347010291613</v>
      </c>
      <c r="J15" s="577">
        <f>Ref_table!J187</f>
        <v>0</v>
      </c>
      <c r="K15" s="43">
        <f>Ref_table!K187</f>
        <v>18.347010291613</v>
      </c>
      <c r="L15" s="578">
        <f>Ref_table!L187</f>
        <v>0</v>
      </c>
      <c r="M15" s="579">
        <f>Ref_table!M187</f>
        <v>0</v>
      </c>
      <c r="N15" s="579">
        <f>Ref_table!N187</f>
        <v>0</v>
      </c>
      <c r="O15" s="580">
        <f>Ref_table!O187</f>
        <v>0</v>
      </c>
      <c r="P15" s="581">
        <f>Ref_table!P187</f>
        <v>0</v>
      </c>
      <c r="Q15" s="374">
        <f>Ref_table!Q187</f>
        <v>0</v>
      </c>
    </row>
    <row r="16" spans="1:17" ht="15.75">
      <c r="A16" s="573" t="str">
        <f>Ref_table!A188</f>
        <v>D5</v>
      </c>
      <c r="B16" s="574" t="str">
        <f>Ref_table!B188</f>
        <v>Landscape Ecosystem Potential (LEP = f(GBLI, Naturlis, ln MEFF)) t2 (~2005), 10^3 points-km^2, 0-100 scale</v>
      </c>
      <c r="C16" s="410">
        <f>Ref_table!C188</f>
        <v>960.6891756645816</v>
      </c>
      <c r="D16" s="410">
        <f>Ref_table!D188</f>
        <v>16634.883231374104</v>
      </c>
      <c r="E16" s="410">
        <f>Ref_table!E188</f>
        <v>11747.595101743058</v>
      </c>
      <c r="F16" s="410">
        <f>Ref_table!F188</f>
        <v>21364.917911664907</v>
      </c>
      <c r="G16" s="410">
        <f>Ref_table!G188</f>
        <v>13330.553698259106</v>
      </c>
      <c r="H16" s="410">
        <f>Ref_table!H188</f>
        <v>14961.007113183881</v>
      </c>
      <c r="I16" s="410">
        <f>Ref_table!I188</f>
        <v>78999.64623188964</v>
      </c>
      <c r="J16" s="589">
        <f>Ref_table!J188</f>
        <v>0</v>
      </c>
      <c r="K16" s="410">
        <f>Ref_table!K188</f>
        <v>78999.64623188964</v>
      </c>
      <c r="L16" s="578">
        <f>Ref_table!L188</f>
        <v>0</v>
      </c>
      <c r="M16" s="579">
        <f>Ref_table!M188</f>
        <v>0</v>
      </c>
      <c r="N16" s="579">
        <f>Ref_table!N188</f>
        <v>0</v>
      </c>
      <c r="O16" s="580">
        <f>Ref_table!O188</f>
        <v>0</v>
      </c>
      <c r="P16" s="581">
        <f>Ref_table!P188</f>
        <v>0</v>
      </c>
      <c r="Q16" s="374">
        <f>Ref_table!Q188</f>
        <v>0</v>
      </c>
    </row>
    <row r="17" spans="1:17" ht="15">
      <c r="A17" s="576">
        <f>Ref_table!A189</f>
        <v>0</v>
      </c>
      <c r="B17" s="582" t="str">
        <f>Ref_table!B189</f>
        <v>Mean LEP_P per km^2</v>
      </c>
      <c r="C17" s="43">
        <f>Ref_table!C189</f>
        <v>0.0027353688736872364</v>
      </c>
      <c r="D17" s="43">
        <f>Ref_table!D189</f>
        <v>0.02200949114053098</v>
      </c>
      <c r="E17" s="43">
        <f>Ref_table!E189</f>
        <v>0.019874400392194676</v>
      </c>
      <c r="F17" s="43">
        <f>Ref_table!F189</f>
        <v>0.03138391525000746</v>
      </c>
      <c r="G17" s="43">
        <f>Ref_table!G189</f>
        <v>0.030787124556181166</v>
      </c>
      <c r="H17" s="43">
        <f>Ref_table!H189</f>
        <v>0.009888993220780688</v>
      </c>
      <c r="I17" s="43">
        <f>Ref_table!I189</f>
        <v>0.01826685707905391</v>
      </c>
      <c r="J17" s="577">
        <f>Ref_table!J189</f>
        <v>0</v>
      </c>
      <c r="K17" s="43">
        <f>Ref_table!K189</f>
        <v>0.01826685707905391</v>
      </c>
      <c r="L17" s="578">
        <f>Ref_table!L189</f>
        <v>0</v>
      </c>
      <c r="M17" s="579">
        <f>Ref_table!M189</f>
        <v>0</v>
      </c>
      <c r="N17" s="579">
        <f>Ref_table!N189</f>
        <v>0</v>
      </c>
      <c r="O17" s="580">
        <f>Ref_table!O189</f>
        <v>0</v>
      </c>
      <c r="P17" s="581">
        <f>Ref_table!P189</f>
        <v>0</v>
      </c>
      <c r="Q17" s="374">
        <f>Ref_table!Q189</f>
        <v>0</v>
      </c>
    </row>
    <row r="18" spans="1:17" ht="15.75">
      <c r="A18" s="573" t="str">
        <f>Ref_table!A190</f>
        <v>D6 </v>
      </c>
      <c r="B18" s="574" t="str">
        <f>Ref_table!B190</f>
        <v>Net change in LEP (10^3 LEP_P) (D6=D5-D4)</v>
      </c>
      <c r="C18" s="410">
        <f>Ref_table!C190</f>
        <v>-27.244760581690457</v>
      </c>
      <c r="D18" s="410">
        <f>Ref_table!D190</f>
        <v>345.03758196564013</v>
      </c>
      <c r="E18" s="410">
        <f>Ref_table!E190</f>
        <v>-243.0503112763763</v>
      </c>
      <c r="F18" s="410">
        <f>Ref_table!F190</f>
        <v>21.040098257300997</v>
      </c>
      <c r="G18" s="410">
        <f>Ref_table!G190</f>
        <v>-5.136966746153121</v>
      </c>
      <c r="H18" s="410">
        <f>Ref_table!H190</f>
        <v>-33.31465789732647</v>
      </c>
      <c r="I18" s="410">
        <f>Ref_table!I190</f>
        <v>57.33098372139477</v>
      </c>
      <c r="J18" s="589">
        <f>Ref_table!J190</f>
        <v>0</v>
      </c>
      <c r="K18" s="410">
        <f>Ref_table!K190</f>
        <v>57.33098372139477</v>
      </c>
      <c r="L18" s="578">
        <f>Ref_table!L190</f>
        <v>0</v>
      </c>
      <c r="M18" s="579">
        <f>Ref_table!M190</f>
        <v>0</v>
      </c>
      <c r="N18" s="579">
        <f>Ref_table!N190</f>
        <v>0</v>
      </c>
      <c r="O18" s="580">
        <f>Ref_table!O190</f>
        <v>0</v>
      </c>
      <c r="P18" s="581">
        <f>Ref_table!P190</f>
        <v>0</v>
      </c>
      <c r="Q18" s="374">
        <f>Ref_table!Q190</f>
        <v>0</v>
      </c>
    </row>
    <row r="19" spans="1:17" ht="15">
      <c r="A19" s="79" t="str">
        <f>Ref_table!A191</f>
        <v>d61</v>
      </c>
      <c r="B19" s="60" t="str">
        <f>Ref_table!B191</f>
        <v>Mean annual net change in LEP</v>
      </c>
      <c r="C19" s="10">
        <f>Ref_table!C191</f>
        <v>-2.7244760581690457</v>
      </c>
      <c r="D19" s="10">
        <f>Ref_table!D191</f>
        <v>34.503758196564014</v>
      </c>
      <c r="E19" s="10">
        <f>Ref_table!E191</f>
        <v>-24.30503112763763</v>
      </c>
      <c r="F19" s="10">
        <f>Ref_table!F191</f>
        <v>2.1040098257301</v>
      </c>
      <c r="G19" s="10">
        <f>Ref_table!G191</f>
        <v>-0.5136966746153121</v>
      </c>
      <c r="H19" s="10">
        <f>Ref_table!H191</f>
        <v>-3.331465789732647</v>
      </c>
      <c r="I19" s="143">
        <f>Ref_table!I191</f>
        <v>5.7330983721394775</v>
      </c>
      <c r="J19" s="16">
        <f>Ref_table!J191</f>
        <v>0</v>
      </c>
      <c r="K19" s="284">
        <f>Ref_table!K191</f>
        <v>5.7330983721394775</v>
      </c>
      <c r="L19" s="229">
        <f>Ref_table!L191</f>
        <v>0</v>
      </c>
      <c r="M19" s="204">
        <f>Ref_table!M191</f>
        <v>0</v>
      </c>
      <c r="N19" s="204">
        <f>Ref_table!N191</f>
        <v>0</v>
      </c>
      <c r="O19" s="26">
        <f>Ref_table!O191</f>
        <v>0</v>
      </c>
      <c r="P19" s="372">
        <f>Ref_table!P191</f>
        <v>0</v>
      </c>
      <c r="Q19" s="99">
        <f>Ref_table!Q191</f>
        <v>0</v>
      </c>
    </row>
    <row r="20" spans="1:17" ht="15">
      <c r="A20" s="79" t="str">
        <f>Ref_table!A192</f>
        <v>d62</v>
      </c>
      <c r="B20" s="60" t="str">
        <f>Ref_table!B192</f>
        <v>Mean annual losses in LEP</v>
      </c>
      <c r="C20" s="10">
        <f>Ref_table!C192</f>
        <v>29.63801808738816</v>
      </c>
      <c r="D20" s="10">
        <f>Ref_table!D192</f>
        <v>488.6953694822539</v>
      </c>
      <c r="E20" s="10">
        <f>Ref_table!E192</f>
        <v>359.719362390583</v>
      </c>
      <c r="F20" s="10">
        <f>Ref_table!F192</f>
        <v>640.3163344022281</v>
      </c>
      <c r="G20" s="10">
        <f>Ref_table!G192</f>
        <v>400.07071995015775</v>
      </c>
      <c r="H20" s="10">
        <f>Ref_table!H192</f>
        <v>449.8296531324362</v>
      </c>
      <c r="I20" s="10">
        <f>Ref_table!I192</f>
        <v>2380.3886725192474</v>
      </c>
      <c r="J20" s="16">
        <f>Ref_table!J192</f>
        <v>0</v>
      </c>
      <c r="K20" s="284">
        <f>Ref_table!K192</f>
        <v>2380.3886725192474</v>
      </c>
      <c r="L20" s="229">
        <f>Ref_table!L192</f>
        <v>0</v>
      </c>
      <c r="M20" s="204">
        <f>Ref_table!M192</f>
        <v>0</v>
      </c>
      <c r="N20" s="204">
        <f>Ref_table!N192</f>
        <v>0</v>
      </c>
      <c r="O20" s="26">
        <f>Ref_table!O192</f>
        <v>0</v>
      </c>
      <c r="P20" s="372">
        <f>Ref_table!P192</f>
        <v>0</v>
      </c>
      <c r="Q20" s="99">
        <f>Ref_table!Q192</f>
        <v>0</v>
      </c>
    </row>
    <row r="21" spans="1:17" ht="15">
      <c r="A21" s="79" t="str">
        <f>Ref_table!A193</f>
        <v>d63</v>
      </c>
      <c r="B21" s="60" t="str">
        <f>Ref_table!B193</f>
        <v>Mean annual gains in LEP</v>
      </c>
      <c r="C21" s="10">
        <f>Ref_table!C193</f>
        <v>26.913542029219116</v>
      </c>
      <c r="D21" s="10">
        <f>Ref_table!D193</f>
        <v>523.199127678818</v>
      </c>
      <c r="E21" s="10">
        <f>Ref_table!E193</f>
        <v>335.4143312629454</v>
      </c>
      <c r="F21" s="10">
        <f>Ref_table!F193</f>
        <v>642.4203442279583</v>
      </c>
      <c r="G21" s="10">
        <f>Ref_table!G193</f>
        <v>399.55702327554246</v>
      </c>
      <c r="H21" s="10">
        <f>Ref_table!H193</f>
        <v>446.49818734270355</v>
      </c>
      <c r="I21" s="143">
        <f>Ref_table!I193</f>
        <v>2386.121770891387</v>
      </c>
      <c r="J21" s="16">
        <f>Ref_table!J193</f>
        <v>0</v>
      </c>
      <c r="K21" s="284">
        <f>Ref_table!K193</f>
        <v>2386.121770891387</v>
      </c>
      <c r="L21" s="229">
        <f>Ref_table!L193</f>
        <v>0</v>
      </c>
      <c r="M21" s="204">
        <f>Ref_table!M193</f>
        <v>0</v>
      </c>
      <c r="N21" s="204">
        <f>Ref_table!N193</f>
        <v>0</v>
      </c>
      <c r="O21" s="26">
        <f>Ref_table!O193</f>
        <v>0</v>
      </c>
      <c r="P21" s="372">
        <f>Ref_table!P193</f>
        <v>0</v>
      </c>
      <c r="Q21" s="99">
        <f>Ref_table!Q193</f>
        <v>0</v>
      </c>
    </row>
    <row r="22" spans="1:17" ht="15">
      <c r="A22" s="73" t="str">
        <f>Ref_table!A194</f>
        <v>D7</v>
      </c>
      <c r="B22" s="37" t="str">
        <f>Ref_table!B194</f>
        <v>Mean Landscape Ecosystem Potential (LEP) by km^2, t1 (~1995), 0-100 scale</v>
      </c>
      <c r="C22" s="61">
        <f>Ref_table!C194</f>
        <v>2.8129428403291143</v>
      </c>
      <c r="D22" s="61">
        <f>Ref_table!D194</f>
        <v>21.552974464231127</v>
      </c>
      <c r="E22" s="61">
        <f>Ref_table!E194</f>
        <v>20.28558916401722</v>
      </c>
      <c r="F22" s="61">
        <f>Ref_table!F194</f>
        <v>31.35300847735852</v>
      </c>
      <c r="G22" s="61">
        <f>Ref_table!G194</f>
        <v>30.798988462109953</v>
      </c>
      <c r="H22" s="61">
        <f>Ref_table!H194</f>
        <v>9.911013691970023</v>
      </c>
      <c r="I22" s="61">
        <f>Ref_table!I194</f>
        <v>18.347010291613</v>
      </c>
      <c r="J22" s="59">
        <f>Ref_table!J194</f>
        <v>0</v>
      </c>
      <c r="K22" s="239">
        <f>Ref_table!K194</f>
        <v>18.347010291613</v>
      </c>
      <c r="L22" s="380">
        <f>Ref_table!L194</f>
        <v>0</v>
      </c>
      <c r="M22" s="314">
        <f>Ref_table!M194</f>
        <v>0</v>
      </c>
      <c r="N22" s="314">
        <f>Ref_table!N194</f>
        <v>0</v>
      </c>
      <c r="O22" s="381">
        <f>Ref_table!O194</f>
        <v>0</v>
      </c>
      <c r="P22" s="382">
        <f>Ref_table!P194</f>
        <v>0</v>
      </c>
      <c r="Q22" s="368">
        <f>Ref_table!Q194</f>
        <v>0</v>
      </c>
    </row>
    <row r="23" spans="1:17" ht="15.75" thickBot="1">
      <c r="A23" s="74" t="str">
        <f>Ref_table!A195</f>
        <v>D8</v>
      </c>
      <c r="B23" s="67" t="str">
        <f>Ref_table!B195</f>
        <v>Mean Landscape Ecosystem Potential (LEP) by km^2, t10 (~2005), 0-100 scale</v>
      </c>
      <c r="C23" s="61">
        <f>Ref_table!C195</f>
        <v>2.6758691447770193</v>
      </c>
      <c r="D23" s="61">
        <f>Ref_table!D195</f>
        <v>22.144520550357967</v>
      </c>
      <c r="E23" s="61">
        <f>Ref_table!E195</f>
        <v>19.864423682217414</v>
      </c>
      <c r="F23" s="61">
        <f>Ref_table!F195</f>
        <v>32.18929771069243</v>
      </c>
      <c r="G23" s="61">
        <f>Ref_table!G195</f>
        <v>29.94592905993795</v>
      </c>
      <c r="H23" s="61">
        <f>Ref_table!H195</f>
        <v>9.8800310898787</v>
      </c>
      <c r="I23" s="61">
        <f>Ref_table!I195</f>
        <v>18.266856445485143</v>
      </c>
      <c r="J23" s="68">
        <f>Ref_table!J195</f>
        <v>0</v>
      </c>
      <c r="K23" s="239">
        <f>Ref_table!K195</f>
        <v>18.266856445485143</v>
      </c>
      <c r="L23" s="383">
        <f>Ref_table!L195</f>
        <v>0</v>
      </c>
      <c r="M23" s="337">
        <f>Ref_table!M195</f>
        <v>0</v>
      </c>
      <c r="N23" s="337">
        <f>Ref_table!N195</f>
        <v>0</v>
      </c>
      <c r="O23" s="384">
        <f>Ref_table!O195</f>
        <v>0</v>
      </c>
      <c r="P23" s="385">
        <f>Ref_table!P195</f>
        <v>0</v>
      </c>
      <c r="Q23" s="369">
        <f>Ref_table!Q195</f>
        <v>0</v>
      </c>
    </row>
    <row r="24" spans="1:17" ht="15.75">
      <c r="A24" s="1111" t="str">
        <f>Ref_table!A196</f>
        <v>Green Accessible Landscape Infrastructure</v>
      </c>
      <c r="B24" s="1060">
        <f>Ref_table!B196</f>
        <v>0</v>
      </c>
      <c r="C24" s="1060">
        <f>Ref_table!C196</f>
        <v>0</v>
      </c>
      <c r="D24" s="1060">
        <f>Ref_table!D196</f>
        <v>0</v>
      </c>
      <c r="E24" s="1060">
        <f>Ref_table!E196</f>
        <v>0</v>
      </c>
      <c r="F24" s="1060">
        <f>Ref_table!F196</f>
        <v>0</v>
      </c>
      <c r="G24" s="1060">
        <f>Ref_table!G196</f>
        <v>0</v>
      </c>
      <c r="H24" s="1060">
        <f>Ref_table!H196</f>
        <v>0</v>
      </c>
      <c r="I24" s="1060">
        <f>Ref_table!I196</f>
        <v>0</v>
      </c>
      <c r="J24" s="1060">
        <f>Ref_table!J196</f>
        <v>0</v>
      </c>
      <c r="K24" s="1061">
        <f>Ref_table!K196</f>
        <v>0</v>
      </c>
      <c r="L24" s="375">
        <f>Ref_table!L196</f>
        <v>0</v>
      </c>
      <c r="M24" s="376">
        <f>Ref_table!M196</f>
        <v>0</v>
      </c>
      <c r="N24" s="376">
        <f>Ref_table!N196</f>
        <v>0</v>
      </c>
      <c r="O24" s="377">
        <f>Ref_table!O196</f>
        <v>0</v>
      </c>
      <c r="P24" s="378">
        <f>Ref_table!P196</f>
        <v>0</v>
      </c>
      <c r="Q24" s="379">
        <f>Ref_table!Q196</f>
        <v>0</v>
      </c>
    </row>
    <row r="25" spans="1:17" ht="15.75">
      <c r="A25" s="615" t="str">
        <f>Ref_table!A197</f>
        <v>D9</v>
      </c>
      <c r="B25" s="574" t="str">
        <f>Ref_table!B197</f>
        <v>Green Ecotones Index (GEI)</v>
      </c>
      <c r="C25" s="410">
        <f>Ref_table!C197</f>
        <v>0</v>
      </c>
      <c r="D25" s="410">
        <f>Ref_table!D197</f>
        <v>0</v>
      </c>
      <c r="E25" s="410">
        <f>Ref_table!E197</f>
        <v>0</v>
      </c>
      <c r="F25" s="410">
        <f>Ref_table!F197</f>
        <v>0</v>
      </c>
      <c r="G25" s="410">
        <f>Ref_table!G197</f>
        <v>0</v>
      </c>
      <c r="H25" s="410">
        <f>Ref_table!H197</f>
        <v>0</v>
      </c>
      <c r="I25" s="410">
        <f>Ref_table!I197</f>
        <v>0</v>
      </c>
      <c r="J25" s="589">
        <f>Ref_table!J197</f>
        <v>0</v>
      </c>
      <c r="K25" s="593">
        <f>Ref_table!K197</f>
        <v>0</v>
      </c>
      <c r="L25" s="578">
        <f>Ref_table!L197</f>
        <v>0</v>
      </c>
      <c r="M25" s="579">
        <f>Ref_table!M197</f>
        <v>0</v>
      </c>
      <c r="N25" s="579">
        <f>Ref_table!N197</f>
        <v>0</v>
      </c>
      <c r="O25" s="580">
        <f>Ref_table!O197</f>
        <v>0</v>
      </c>
      <c r="P25" s="581">
        <f>Ref_table!P197</f>
        <v>0</v>
      </c>
      <c r="Q25" s="374">
        <f>Ref_table!Q197</f>
        <v>0</v>
      </c>
    </row>
    <row r="26" spans="1:17" ht="15">
      <c r="A26" s="758" t="str">
        <f>Ref_table!A198</f>
        <v>D10</v>
      </c>
      <c r="B26" s="92" t="str">
        <f>Ref_table!B198</f>
        <v>Green ecotones index,GEI t1 (~1995), 10^3 GE_P points</v>
      </c>
      <c r="C26" s="4">
        <f>Ref_table!C198</f>
        <v>6963.384777503379</v>
      </c>
      <c r="D26" s="4">
        <f>Ref_table!D198</f>
        <v>15006.953918245803</v>
      </c>
      <c r="E26" s="4">
        <f>Ref_table!E198</f>
        <v>21729.472753632665</v>
      </c>
      <c r="F26" s="4">
        <f>Ref_table!F198</f>
        <v>37327.72529284665</v>
      </c>
      <c r="G26" s="4">
        <f>Ref_table!G198</f>
        <v>40915.98029373814</v>
      </c>
      <c r="H26" s="4">
        <f>Ref_table!H198</f>
        <v>59455.905070227476</v>
      </c>
      <c r="I26" s="132">
        <f>Ref_table!I198</f>
        <v>181399.4221061941</v>
      </c>
      <c r="J26" s="43">
        <f>Ref_table!J198</f>
        <v>65600</v>
      </c>
      <c r="K26" s="172">
        <f>Ref_table!K198</f>
        <v>246999.4221061941</v>
      </c>
      <c r="L26" s="332">
        <f>Ref_table!L198</f>
        <v>0</v>
      </c>
      <c r="M26" s="333">
        <f>Ref_table!M198</f>
        <v>0</v>
      </c>
      <c r="N26" s="333">
        <f>Ref_table!N198</f>
        <v>0</v>
      </c>
      <c r="O26" s="339">
        <f>Ref_table!O198</f>
        <v>0</v>
      </c>
      <c r="P26" s="500">
        <f>Ref_table!P198</f>
        <v>0</v>
      </c>
      <c r="Q26" s="507">
        <f>Ref_table!Q198</f>
        <v>0</v>
      </c>
    </row>
    <row r="27" spans="1:17" ht="15">
      <c r="A27" s="758" t="str">
        <f>Ref_table!A199</f>
        <v>D11</v>
      </c>
      <c r="B27" s="92" t="str">
        <f>Ref_table!B199</f>
        <v>Green ecotones index, GEI t10 (~ 2005), 10^3 GE_P points</v>
      </c>
      <c r="C27" s="4">
        <f>Ref_table!C199</f>
        <v>6569.230922172999</v>
      </c>
      <c r="D27" s="4">
        <f>Ref_table!D199</f>
        <v>14292.337064996002</v>
      </c>
      <c r="E27" s="4">
        <f>Ref_table!E199</f>
        <v>20499.502597766663</v>
      </c>
      <c r="F27" s="4">
        <f>Ref_table!F199</f>
        <v>36240.509993055</v>
      </c>
      <c r="G27" s="4">
        <f>Ref_table!G199</f>
        <v>41329.27302397792</v>
      </c>
      <c r="H27" s="4">
        <f>Ref_table!H199</f>
        <v>57169.13949060334</v>
      </c>
      <c r="I27" s="132">
        <f>Ref_table!I199</f>
        <v>176099.9930925719</v>
      </c>
      <c r="J27" s="43">
        <f>Ref_table!J199</f>
        <v>60500</v>
      </c>
      <c r="K27" s="220">
        <f>Ref_table!K199</f>
        <v>236599.9930925719</v>
      </c>
      <c r="L27" s="326">
        <f>Ref_table!L199</f>
        <v>0</v>
      </c>
      <c r="M27" s="316">
        <f>Ref_table!M199</f>
        <v>0</v>
      </c>
      <c r="N27" s="316">
        <f>Ref_table!N199</f>
        <v>0</v>
      </c>
      <c r="O27" s="89">
        <f>Ref_table!O199</f>
        <v>0</v>
      </c>
      <c r="P27" s="501">
        <f>Ref_table!P199</f>
        <v>0</v>
      </c>
      <c r="Q27" s="508">
        <f>Ref_table!Q199</f>
        <v>0</v>
      </c>
    </row>
    <row r="28" spans="1:17" ht="15">
      <c r="A28" s="63" t="str">
        <f>Ref_table!A200</f>
        <v>D11-D10</v>
      </c>
      <c r="B28" s="37" t="str">
        <f>Ref_table!B200</f>
        <v>Change in GEI</v>
      </c>
      <c r="C28" s="44">
        <f>Ref_table!C200</f>
        <v>-394.1538553303799</v>
      </c>
      <c r="D28" s="44">
        <f>Ref_table!D200</f>
        <v>-714.6168532498014</v>
      </c>
      <c r="E28" s="44">
        <f>Ref_table!E200</f>
        <v>-1229.9701558660017</v>
      </c>
      <c r="F28" s="44">
        <f>Ref_table!F200</f>
        <v>-1087.2152997916492</v>
      </c>
      <c r="G28" s="44">
        <f>Ref_table!G200</f>
        <v>413.2927302397802</v>
      </c>
      <c r="H28" s="44">
        <f>Ref_table!H200</f>
        <v>-2286.765579624138</v>
      </c>
      <c r="I28" s="249">
        <f>Ref_table!I200</f>
        <v>-5299.42901362219</v>
      </c>
      <c r="J28" s="44">
        <f>Ref_table!J200</f>
        <v>-5100</v>
      </c>
      <c r="K28" s="206">
        <f>Ref_table!K200</f>
        <v>-10399.42901362219</v>
      </c>
      <c r="L28" s="334">
        <f>Ref_table!L200</f>
        <v>0</v>
      </c>
      <c r="M28" s="335">
        <f>Ref_table!M200</f>
        <v>0</v>
      </c>
      <c r="N28" s="335">
        <f>Ref_table!N200</f>
        <v>0</v>
      </c>
      <c r="O28" s="187">
        <f>Ref_table!O200</f>
        <v>0</v>
      </c>
      <c r="P28" s="502">
        <f>Ref_table!P200</f>
        <v>0</v>
      </c>
      <c r="Q28" s="393">
        <f>Ref_table!Q200</f>
        <v>0</v>
      </c>
    </row>
    <row r="29" spans="1:17" ht="15">
      <c r="A29" s="63" t="str">
        <f>Ref_table!A201</f>
        <v>D11-D10 %</v>
      </c>
      <c r="B29" s="37" t="str">
        <f>Ref_table!B201</f>
        <v>Change in GEI %</v>
      </c>
      <c r="C29" s="293">
        <f>Ref_table!C201</f>
        <v>-5.660377358490566</v>
      </c>
      <c r="D29" s="293">
        <f>Ref_table!D201</f>
        <v>-4.761904761904771</v>
      </c>
      <c r="E29" s="293">
        <f>Ref_table!E201</f>
        <v>-5.6603773584905746</v>
      </c>
      <c r="F29" s="293">
        <f>Ref_table!F201</f>
        <v>-2.9126213592232992</v>
      </c>
      <c r="G29" s="293">
        <f>Ref_table!G201</f>
        <v>1.0101010101010126</v>
      </c>
      <c r="H29" s="293">
        <f>Ref_table!H201</f>
        <v>-3.846153846153853</v>
      </c>
      <c r="I29" s="268">
        <f>Ref_table!I201</f>
        <v>-2.921414496304084</v>
      </c>
      <c r="J29" s="293">
        <f>Ref_table!J201</f>
        <v>-7.774390243902439</v>
      </c>
      <c r="K29" s="239">
        <f>Ref_table!K201</f>
        <v>-4.210304997859912</v>
      </c>
      <c r="L29" s="334">
        <f>Ref_table!L201</f>
        <v>0</v>
      </c>
      <c r="M29" s="335">
        <f>Ref_table!M201</f>
        <v>0</v>
      </c>
      <c r="N29" s="335">
        <f>Ref_table!N201</f>
        <v>0</v>
      </c>
      <c r="O29" s="187">
        <f>Ref_table!O201</f>
        <v>0</v>
      </c>
      <c r="P29" s="502">
        <f>Ref_table!P201</f>
        <v>0</v>
      </c>
      <c r="Q29" s="393">
        <f>Ref_table!Q201</f>
        <v>0</v>
      </c>
    </row>
    <row r="30" spans="1:17" ht="15">
      <c r="A30" s="63" t="str">
        <f>Ref_table!A202</f>
        <v>D12</v>
      </c>
      <c r="B30" s="37" t="str">
        <f>Ref_table!B202</f>
        <v>Mean GEI t1 (~1995)/points by km^2</v>
      </c>
      <c r="C30" s="61">
        <f>Ref_table!C202</f>
        <v>19.826835212037977</v>
      </c>
      <c r="D30" s="61">
        <f>Ref_table!D202</f>
        <v>19.8555898899871</v>
      </c>
      <c r="E30" s="61">
        <f>Ref_table!E202</f>
        <v>36.761587207998254</v>
      </c>
      <c r="F30" s="61">
        <f>Ref_table!F202</f>
        <v>54.832420695922444</v>
      </c>
      <c r="G30" s="61">
        <f>Ref_table!G202</f>
        <v>94.49610347438741</v>
      </c>
      <c r="H30" s="61">
        <f>Ref_table!H202</f>
        <v>39.29942935838461</v>
      </c>
      <c r="I30" s="61">
        <f>Ref_table!I202</f>
        <v>41.94445767656142</v>
      </c>
      <c r="J30" s="61">
        <f>Ref_table!J202</f>
        <v>15.168496082482692</v>
      </c>
      <c r="K30" s="239">
        <f>Ref_table!K202</f>
        <v>0.05711295375904412</v>
      </c>
      <c r="L30" s="334">
        <f>Ref_table!L202</f>
        <v>0</v>
      </c>
      <c r="M30" s="335">
        <f>Ref_table!M202</f>
        <v>0</v>
      </c>
      <c r="N30" s="335">
        <f>Ref_table!N202</f>
        <v>0</v>
      </c>
      <c r="O30" s="187">
        <f>Ref_table!O202</f>
        <v>0</v>
      </c>
      <c r="P30" s="502">
        <f>Ref_table!P202</f>
        <v>0</v>
      </c>
      <c r="Q30" s="393">
        <f>Ref_table!Q202</f>
        <v>0</v>
      </c>
    </row>
    <row r="31" spans="1:17" ht="15">
      <c r="A31" s="758" t="str">
        <f>Ref_table!A203</f>
        <v>D13</v>
      </c>
      <c r="B31" s="92" t="str">
        <f>Ref_table!B203</f>
        <v>Mean GEI  t10 (~ 2005)/points by km^2</v>
      </c>
      <c r="C31" s="61">
        <f>Ref_table!C203</f>
        <v>18.70456152079055</v>
      </c>
      <c r="D31" s="61">
        <f>Ref_table!D203</f>
        <v>18.910085609511526</v>
      </c>
      <c r="E31" s="61">
        <f>Ref_table!E203</f>
        <v>34.680742649054956</v>
      </c>
      <c r="F31" s="61">
        <f>Ref_table!F203</f>
        <v>53.23535989895383</v>
      </c>
      <c r="G31" s="61">
        <f>Ref_table!G203</f>
        <v>95.45060957008829</v>
      </c>
      <c r="H31" s="61">
        <f>Ref_table!H203</f>
        <v>37.787912844600584</v>
      </c>
      <c r="I31" s="61">
        <f>Ref_table!I203</f>
        <v>40.719086209602224</v>
      </c>
      <c r="J31" s="293">
        <f>Ref_table!J203</f>
        <v>13.989237517695864</v>
      </c>
      <c r="K31" s="741">
        <f>Ref_table!K203</f>
        <v>0.05470832231499486</v>
      </c>
      <c r="L31" s="326">
        <f>Ref_table!L203</f>
        <v>0</v>
      </c>
      <c r="M31" s="316">
        <f>Ref_table!M203</f>
        <v>0</v>
      </c>
      <c r="N31" s="316">
        <f>Ref_table!N203</f>
        <v>0</v>
      </c>
      <c r="O31" s="89">
        <f>Ref_table!O203</f>
        <v>0</v>
      </c>
      <c r="P31" s="501">
        <f>Ref_table!P203</f>
        <v>0</v>
      </c>
      <c r="Q31" s="508">
        <f>Ref_table!Q203</f>
        <v>0</v>
      </c>
    </row>
    <row r="32" spans="1:17" ht="15.75">
      <c r="A32" s="615" t="str">
        <f>Ref_table!A204</f>
        <v>D14</v>
      </c>
      <c r="B32" s="574" t="str">
        <f>Ref_table!B204</f>
        <v>GALI = Green Accessible Landscape Infrastructure Index (SQRT GBLI*GEI), t1 (~1995)</v>
      </c>
      <c r="C32" s="410">
        <f>Ref_table!C204</f>
        <v>6759.610402437262</v>
      </c>
      <c r="D32" s="410">
        <f>Ref_table!D204</f>
        <v>11165.848734519788</v>
      </c>
      <c r="E32" s="410">
        <f>Ref_table!E204</f>
        <v>18859.629383875133</v>
      </c>
      <c r="F32" s="410">
        <f>Ref_table!F204</f>
        <v>23653.37023567165</v>
      </c>
      <c r="G32" s="410">
        <f>Ref_table!G204</f>
        <v>31827.617571369294</v>
      </c>
      <c r="H32" s="410">
        <f>Ref_table!H204</f>
        <v>31354.68577200648</v>
      </c>
      <c r="I32" s="410">
        <f>Ref_table!I204</f>
        <v>123620.76209987962</v>
      </c>
      <c r="J32" s="589">
        <f>Ref_table!J204</f>
        <v>0</v>
      </c>
      <c r="K32" s="759">
        <f>Ref_table!K204</f>
        <v>0</v>
      </c>
      <c r="L32" s="578">
        <f>Ref_table!L204</f>
        <v>0</v>
      </c>
      <c r="M32" s="579">
        <f>Ref_table!M204</f>
        <v>0</v>
      </c>
      <c r="N32" s="579">
        <f>Ref_table!N204</f>
        <v>0</v>
      </c>
      <c r="O32" s="580">
        <f>Ref_table!O204</f>
        <v>0</v>
      </c>
      <c r="P32" s="581">
        <f>Ref_table!P204</f>
        <v>0</v>
      </c>
      <c r="Q32" s="374">
        <f>Ref_table!Q204</f>
        <v>0</v>
      </c>
    </row>
    <row r="33" spans="1:17" ht="15.75">
      <c r="A33" s="142" t="str">
        <f>Ref_table!A205</f>
        <v>d141</v>
      </c>
      <c r="B33" s="109" t="str">
        <f>Ref_table!B205</f>
        <v>Mean GAI per km^2, t1 (~1995)</v>
      </c>
      <c r="C33" s="44">
        <f>Ref_table!C205</f>
        <v>19.246628734302522</v>
      </c>
      <c r="D33" s="44">
        <f>Ref_table!D205</f>
        <v>14.773451991260059</v>
      </c>
      <c r="E33" s="44">
        <f>Ref_table!E205</f>
        <v>31.906430412120642</v>
      </c>
      <c r="F33" s="44">
        <f>Ref_table!F205</f>
        <v>34.7455286241968</v>
      </c>
      <c r="G33" s="44">
        <f>Ref_table!G205</f>
        <v>73.50638605688327</v>
      </c>
      <c r="H33" s="44">
        <f>Ref_table!H205</f>
        <v>20.72496007075923</v>
      </c>
      <c r="I33" s="44">
        <f>Ref_table!I205</f>
        <v>28.58446715892605</v>
      </c>
      <c r="J33" s="589">
        <f>Ref_table!J205</f>
        <v>0</v>
      </c>
      <c r="K33" s="759">
        <f>Ref_table!K205</f>
        <v>0</v>
      </c>
      <c r="L33" s="578">
        <f>Ref_table!L205</f>
        <v>0</v>
      </c>
      <c r="M33" s="579">
        <f>Ref_table!M205</f>
        <v>0</v>
      </c>
      <c r="N33" s="579">
        <f>Ref_table!N205</f>
        <v>0</v>
      </c>
      <c r="O33" s="580">
        <f>Ref_table!O205</f>
        <v>0</v>
      </c>
      <c r="P33" s="581">
        <f>Ref_table!P205</f>
        <v>0</v>
      </c>
      <c r="Q33" s="374">
        <f>Ref_table!Q205</f>
        <v>0</v>
      </c>
    </row>
    <row r="34" spans="1:17" ht="15.75">
      <c r="A34" s="615" t="str">
        <f>Ref_table!A206</f>
        <v>D15</v>
      </c>
      <c r="B34" s="574" t="str">
        <f>Ref_table!B206</f>
        <v>GALI = Green Accessible Landscape Infrastructure Index (SQRT GBLI*GEI), t1 (~2005)</v>
      </c>
      <c r="C34" s="410">
        <f>Ref_table!C206</f>
        <v>6565.51401893041</v>
      </c>
      <c r="D34" s="410">
        <f>Ref_table!D206</f>
        <v>10896.752594550147</v>
      </c>
      <c r="E34" s="410">
        <f>Ref_table!E206</f>
        <v>18318.09138985556</v>
      </c>
      <c r="F34" s="410">
        <f>Ref_table!F206</f>
        <v>23306.358220467126</v>
      </c>
      <c r="G34" s="410">
        <f>Ref_table!G206</f>
        <v>31987.959228834705</v>
      </c>
      <c r="H34" s="410">
        <f>Ref_table!H206</f>
        <v>30745.798960390595</v>
      </c>
      <c r="I34" s="410">
        <f>Ref_table!I206</f>
        <v>121820.47441302854</v>
      </c>
      <c r="J34" s="589">
        <f>Ref_table!J206</f>
        <v>0</v>
      </c>
      <c r="K34" s="759">
        <f>Ref_table!K206</f>
        <v>0</v>
      </c>
      <c r="L34" s="578">
        <f>Ref_table!L206</f>
        <v>0</v>
      </c>
      <c r="M34" s="579">
        <f>Ref_table!M206</f>
        <v>0</v>
      </c>
      <c r="N34" s="579">
        <f>Ref_table!N206</f>
        <v>0</v>
      </c>
      <c r="O34" s="580">
        <f>Ref_table!O206</f>
        <v>0</v>
      </c>
      <c r="P34" s="581">
        <f>Ref_table!P206</f>
        <v>0</v>
      </c>
      <c r="Q34" s="374">
        <f>Ref_table!Q206</f>
        <v>0</v>
      </c>
    </row>
    <row r="35" spans="1:17" ht="16.5" thickBot="1">
      <c r="A35" s="760" t="str">
        <f>Ref_table!A207</f>
        <v>d151</v>
      </c>
      <c r="B35" s="761" t="str">
        <f>Ref_table!B207</f>
        <v>Mean GAI per km^2, t1 (~2005)</v>
      </c>
      <c r="C35" s="762">
        <f>Ref_table!C207</f>
        <v>18.693978387667126</v>
      </c>
      <c r="D35" s="762">
        <f>Ref_table!D207</f>
        <v>14.417412875972342</v>
      </c>
      <c r="E35" s="762">
        <f>Ref_table!E207</f>
        <v>30.99026477757864</v>
      </c>
      <c r="F35" s="762">
        <f>Ref_table!F207</f>
        <v>34.235786638716625</v>
      </c>
      <c r="G35" s="762">
        <f>Ref_table!G207</f>
        <v>73.87669765021018</v>
      </c>
      <c r="H35" s="762">
        <f>Ref_table!H207</f>
        <v>20.322495349852428</v>
      </c>
      <c r="I35" s="762">
        <f>Ref_table!I207</f>
        <v>28.16819190396656</v>
      </c>
      <c r="J35" s="763">
        <f>Ref_table!J207</f>
        <v>0</v>
      </c>
      <c r="K35" s="764">
        <f>Ref_table!K207</f>
        <v>0</v>
      </c>
      <c r="L35" s="578">
        <f>Ref_table!L207</f>
        <v>0</v>
      </c>
      <c r="M35" s="579">
        <f>Ref_table!M207</f>
        <v>0</v>
      </c>
      <c r="N35" s="579">
        <f>Ref_table!N207</f>
        <v>0</v>
      </c>
      <c r="O35" s="580">
        <f>Ref_table!O207</f>
        <v>0</v>
      </c>
      <c r="P35" s="581">
        <f>Ref_table!P207</f>
        <v>0</v>
      </c>
      <c r="Q35" s="374">
        <f>Ref_table!Q207</f>
        <v>0</v>
      </c>
    </row>
    <row r="36" spans="1:17" ht="15.75">
      <c r="A36" s="1124" t="str">
        <f>Ref_table!A208</f>
        <v>Rivers Ecosystem Potential</v>
      </c>
      <c r="B36" s="1125">
        <f>Ref_table!B208</f>
        <v>0</v>
      </c>
      <c r="C36" s="1125">
        <f>Ref_table!C208</f>
        <v>0</v>
      </c>
      <c r="D36" s="1125">
        <f>Ref_table!D208</f>
        <v>0</v>
      </c>
      <c r="E36" s="1125">
        <f>Ref_table!E208</f>
        <v>0</v>
      </c>
      <c r="F36" s="1125">
        <f>Ref_table!F208</f>
        <v>0</v>
      </c>
      <c r="G36" s="1125">
        <f>Ref_table!G208</f>
        <v>0</v>
      </c>
      <c r="H36" s="1125">
        <f>Ref_table!H208</f>
        <v>0</v>
      </c>
      <c r="I36" s="1125">
        <f>Ref_table!I208</f>
        <v>0</v>
      </c>
      <c r="J36" s="1125">
        <f>Ref_table!J208</f>
        <v>0</v>
      </c>
      <c r="K36" s="1126">
        <f>Ref_table!K208</f>
        <v>0</v>
      </c>
      <c r="L36" s="331">
        <f>Ref_table!L208</f>
        <v>0</v>
      </c>
      <c r="M36" s="307">
        <f>Ref_table!M208</f>
        <v>0</v>
      </c>
      <c r="N36" s="307">
        <f>Ref_table!N208</f>
        <v>0</v>
      </c>
      <c r="O36" s="308">
        <f>Ref_table!O208</f>
        <v>0</v>
      </c>
      <c r="P36" s="386">
        <f>Ref_table!P208</f>
        <v>0</v>
      </c>
      <c r="Q36" s="387">
        <f>Ref_table!Q208</f>
        <v>0</v>
      </c>
    </row>
    <row r="37" spans="1:17" ht="15.75">
      <c r="A37" s="601" t="str">
        <f>Ref_table!A209</f>
        <v>D0</v>
      </c>
      <c r="B37" s="602" t="str">
        <f>Ref_table!B209</f>
        <v>River infrastructure in km</v>
      </c>
      <c r="C37" s="603">
        <f>Ref_table!C209</f>
        <v>48752.431826727276</v>
      </c>
      <c r="D37" s="603">
        <f>Ref_table!D209</f>
        <v>104915.35194823636</v>
      </c>
      <c r="E37" s="603">
        <f>Ref_table!E209</f>
        <v>82051.06482654547</v>
      </c>
      <c r="F37" s="603">
        <f>Ref_table!F209</f>
        <v>94498.1688757091</v>
      </c>
      <c r="G37" s="603">
        <f>Ref_table!G209</f>
        <v>60104.68796896364</v>
      </c>
      <c r="H37" s="603">
        <f>Ref_table!H209</f>
        <v>210009.06298161822</v>
      </c>
      <c r="I37" s="604">
        <f>Ref_table!I209</f>
        <v>0</v>
      </c>
      <c r="J37" s="603">
        <f>Ref_table!J209</f>
        <v>600330.7684278002</v>
      </c>
      <c r="K37" s="605">
        <f>Ref_table!K209</f>
        <v>600330.7684278002</v>
      </c>
      <c r="L37" s="606">
        <f>Ref_table!L209</f>
        <v>0</v>
      </c>
      <c r="M37" s="607">
        <f>Ref_table!M209</f>
        <v>0</v>
      </c>
      <c r="N37" s="607">
        <f>Ref_table!N209</f>
        <v>0</v>
      </c>
      <c r="O37" s="608">
        <f>Ref_table!O209</f>
        <v>0</v>
      </c>
      <c r="P37" s="609">
        <f>Ref_table!P209</f>
        <v>0</v>
      </c>
      <c r="Q37" s="610">
        <f>Ref_table!Q209</f>
        <v>0</v>
      </c>
    </row>
    <row r="38" spans="1:17" ht="15.75">
      <c r="A38" s="413" t="str">
        <f>Ref_table!A210</f>
        <v>D16</v>
      </c>
      <c r="B38" s="574" t="str">
        <f>Ref_table!B210</f>
        <v>River infrastructure potential in 10^3 Standard-River-Kilometer (1 srkm = 1 km*1m^3/second)</v>
      </c>
      <c r="C38" s="410">
        <f>Ref_table!C210</f>
        <v>8495.466298834</v>
      </c>
      <c r="D38" s="410">
        <f>Ref_table!D210</f>
        <v>14459.615309860003</v>
      </c>
      <c r="E38" s="410">
        <f>Ref_table!E210</f>
        <v>14152.16468252</v>
      </c>
      <c r="F38" s="410">
        <f>Ref_table!F210</f>
        <v>12829.18340247</v>
      </c>
      <c r="G38" s="410">
        <f>Ref_table!G210</f>
        <v>11793.60162189</v>
      </c>
      <c r="H38" s="410">
        <f>Ref_table!H210</f>
        <v>23797.858034226003</v>
      </c>
      <c r="I38" s="592">
        <f>Ref_table!I210</f>
        <v>0</v>
      </c>
      <c r="J38" s="410">
        <f>Ref_table!J210</f>
        <v>85527.88934980001</v>
      </c>
      <c r="K38" s="593">
        <f>Ref_table!K210</f>
        <v>85527.88934980001</v>
      </c>
      <c r="L38" s="594">
        <f>Ref_table!L210</f>
        <v>0</v>
      </c>
      <c r="M38" s="595">
        <f>Ref_table!M210</f>
        <v>0</v>
      </c>
      <c r="N38" s="595">
        <f>Ref_table!N210</f>
        <v>0</v>
      </c>
      <c r="O38" s="596">
        <f>Ref_table!O210</f>
        <v>0</v>
      </c>
      <c r="P38" s="597">
        <f>Ref_table!P210</f>
        <v>0</v>
      </c>
      <c r="Q38" s="598">
        <f>Ref_table!Q210</f>
        <v>0</v>
      </c>
    </row>
    <row r="39" spans="1:17" ht="15">
      <c r="A39" s="113" t="str">
        <f>Ref_table!A211</f>
        <v>d161</v>
      </c>
      <c r="B39" s="60" t="str">
        <f>Ref_table!B211</f>
        <v>Large rivers</v>
      </c>
      <c r="C39" s="38">
        <f>Ref_table!C211</f>
        <v>3395.71747869</v>
      </c>
      <c r="D39" s="38">
        <f>Ref_table!D211</f>
        <v>4527.623304920001</v>
      </c>
      <c r="E39" s="38">
        <f>Ref_table!E211</f>
        <v>3395.71747869</v>
      </c>
      <c r="F39" s="38">
        <f>Ref_table!F211</f>
        <v>3395.71747869</v>
      </c>
      <c r="G39" s="38">
        <f>Ref_table!G211</f>
        <v>2263.8116524600005</v>
      </c>
      <c r="H39" s="38">
        <f>Ref_table!H211</f>
        <v>5659.5291311500005</v>
      </c>
      <c r="I39" s="269">
        <f>Ref_table!I211</f>
        <v>0</v>
      </c>
      <c r="J39" s="38">
        <f>Ref_table!J211</f>
        <v>22638.116524600002</v>
      </c>
      <c r="K39" s="172">
        <f>Ref_table!K211</f>
        <v>22638.116524600002</v>
      </c>
      <c r="L39" s="334">
        <f>Ref_table!L211</f>
        <v>0</v>
      </c>
      <c r="M39" s="335">
        <f>Ref_table!M211</f>
        <v>0</v>
      </c>
      <c r="N39" s="335">
        <f>Ref_table!N211</f>
        <v>0</v>
      </c>
      <c r="O39" s="389">
        <f>Ref_table!O211</f>
        <v>0</v>
      </c>
      <c r="P39" s="390">
        <f>Ref_table!P211</f>
        <v>0</v>
      </c>
      <c r="Q39" s="368">
        <f>Ref_table!Q211</f>
        <v>0</v>
      </c>
    </row>
    <row r="40" spans="1:17" ht="15">
      <c r="A40" s="113" t="str">
        <f>Ref_table!A212</f>
        <v>d162</v>
      </c>
      <c r="B40" s="60" t="str">
        <f>Ref_table!B212</f>
        <v>Medium rivers</v>
      </c>
      <c r="C40" s="38">
        <f>Ref_table!C212</f>
        <v>2943.9773625600005</v>
      </c>
      <c r="D40" s="38">
        <f>Ref_table!D212</f>
        <v>4906.628937600001</v>
      </c>
      <c r="E40" s="38">
        <f>Ref_table!E212</f>
        <v>3679.9717032000003</v>
      </c>
      <c r="F40" s="38">
        <f>Ref_table!F212</f>
        <v>3679.9717032000003</v>
      </c>
      <c r="G40" s="38">
        <f>Ref_table!G212</f>
        <v>2453.3144688000007</v>
      </c>
      <c r="H40" s="38">
        <f>Ref_table!H212</f>
        <v>6869.280512640002</v>
      </c>
      <c r="I40" s="269">
        <f>Ref_table!I212</f>
        <v>0</v>
      </c>
      <c r="J40" s="38">
        <f>Ref_table!J212</f>
        <v>24533.144688000004</v>
      </c>
      <c r="K40" s="172">
        <f>Ref_table!K212</f>
        <v>24533.144688000004</v>
      </c>
      <c r="L40" s="334">
        <f>Ref_table!L212</f>
        <v>0</v>
      </c>
      <c r="M40" s="335">
        <f>Ref_table!M212</f>
        <v>0</v>
      </c>
      <c r="N40" s="335">
        <f>Ref_table!N212</f>
        <v>0</v>
      </c>
      <c r="O40" s="389">
        <f>Ref_table!O212</f>
        <v>0</v>
      </c>
      <c r="P40" s="390">
        <f>Ref_table!P212</f>
        <v>0</v>
      </c>
      <c r="Q40" s="368">
        <f>Ref_table!Q212</f>
        <v>0</v>
      </c>
    </row>
    <row r="41" spans="1:17" ht="15">
      <c r="A41" s="113" t="str">
        <f>Ref_table!A213</f>
        <v>d163</v>
      </c>
      <c r="B41" s="60" t="str">
        <f>Ref_table!B213</f>
        <v>Small rivers</v>
      </c>
      <c r="C41" s="38">
        <f>Ref_table!C213</f>
        <v>832.790177534</v>
      </c>
      <c r="D41" s="38">
        <f>Ref_table!D213</f>
        <v>2379.40050724</v>
      </c>
      <c r="E41" s="38">
        <f>Ref_table!E213</f>
        <v>1784.55038043</v>
      </c>
      <c r="F41" s="38">
        <f>Ref_table!F213</f>
        <v>1784.55038043</v>
      </c>
      <c r="G41" s="38">
        <f>Ref_table!G213</f>
        <v>1784.55038043</v>
      </c>
      <c r="H41" s="38">
        <f>Ref_table!H213</f>
        <v>3331.160710135999</v>
      </c>
      <c r="I41" s="269">
        <f>Ref_table!I213</f>
        <v>0</v>
      </c>
      <c r="J41" s="38">
        <f>Ref_table!J213</f>
        <v>11897.002536199998</v>
      </c>
      <c r="K41" s="172">
        <f>Ref_table!K213</f>
        <v>11897.002536199998</v>
      </c>
      <c r="L41" s="334">
        <f>Ref_table!L213</f>
        <v>0</v>
      </c>
      <c r="M41" s="335">
        <f>Ref_table!M213</f>
        <v>0</v>
      </c>
      <c r="N41" s="335">
        <f>Ref_table!N213</f>
        <v>0</v>
      </c>
      <c r="O41" s="389">
        <f>Ref_table!O213</f>
        <v>0</v>
      </c>
      <c r="P41" s="390">
        <f>Ref_table!P213</f>
        <v>0</v>
      </c>
      <c r="Q41" s="368">
        <f>Ref_table!Q213</f>
        <v>0</v>
      </c>
    </row>
    <row r="42" spans="1:17" ht="15">
      <c r="A42" s="113" t="str">
        <f>Ref_table!A214</f>
        <v>d164</v>
      </c>
      <c r="B42" s="60" t="str">
        <f>Ref_table!B214</f>
        <v>Brooks, streams</v>
      </c>
      <c r="C42" s="38">
        <f>Ref_table!C214</f>
        <v>1322.9812800500001</v>
      </c>
      <c r="D42" s="38">
        <f>Ref_table!D214</f>
        <v>2645.9625601000002</v>
      </c>
      <c r="E42" s="38">
        <f>Ref_table!E214</f>
        <v>5291.9251202000005</v>
      </c>
      <c r="F42" s="38">
        <f>Ref_table!F214</f>
        <v>3968.9438401499997</v>
      </c>
      <c r="G42" s="38">
        <f>Ref_table!G214</f>
        <v>5291.9251202000005</v>
      </c>
      <c r="H42" s="38">
        <f>Ref_table!H214</f>
        <v>7937.887680300001</v>
      </c>
      <c r="I42" s="269">
        <f>Ref_table!I214</f>
        <v>0</v>
      </c>
      <c r="J42" s="38">
        <f>Ref_table!J214</f>
        <v>26459.625601000003</v>
      </c>
      <c r="K42" s="172">
        <f>Ref_table!K214</f>
        <v>26459.625601000003</v>
      </c>
      <c r="L42" s="334">
        <f>Ref_table!L214</f>
        <v>0</v>
      </c>
      <c r="M42" s="335">
        <f>Ref_table!M214</f>
        <v>0</v>
      </c>
      <c r="N42" s="335">
        <f>Ref_table!N214</f>
        <v>0</v>
      </c>
      <c r="O42" s="389">
        <f>Ref_table!O214</f>
        <v>0</v>
      </c>
      <c r="P42" s="390">
        <f>Ref_table!P214</f>
        <v>0</v>
      </c>
      <c r="Q42" s="368">
        <f>Ref_table!Q214</f>
        <v>0</v>
      </c>
    </row>
    <row r="43" spans="1:17" ht="15.75">
      <c r="A43" s="413" t="str">
        <f>Ref_table!A215</f>
        <v>D17</v>
      </c>
      <c r="B43" s="574" t="str">
        <f>Ref_table!B215</f>
        <v>River integrity composite index, mean value t1 (~1995) [(d171+d172+d173)/3]</v>
      </c>
      <c r="C43" s="599">
        <f>Ref_table!C215</f>
        <v>0.6999999999999998</v>
      </c>
      <c r="D43" s="599">
        <f>Ref_table!D215</f>
        <v>0.6333333333333333</v>
      </c>
      <c r="E43" s="599">
        <f>Ref_table!E215</f>
        <v>0.7666666666666666</v>
      </c>
      <c r="F43" s="599">
        <f>Ref_table!F215</f>
        <v>0.7666666666666666</v>
      </c>
      <c r="G43" s="599">
        <f>Ref_table!G215</f>
        <v>0.9166666666666666</v>
      </c>
      <c r="H43" s="599">
        <f>Ref_table!H215</f>
        <v>0.6999999999999998</v>
      </c>
      <c r="I43" s="592">
        <f>Ref_table!I215</f>
        <v>0</v>
      </c>
      <c r="J43" s="599">
        <f>Ref_table!J215</f>
        <v>0.7396369250099597</v>
      </c>
      <c r="K43" s="614">
        <f>Ref_table!K215</f>
        <v>0.7396369250099597</v>
      </c>
      <c r="L43" s="594">
        <f>Ref_table!L215</f>
        <v>0</v>
      </c>
      <c r="M43" s="595">
        <f>Ref_table!M215</f>
        <v>0</v>
      </c>
      <c r="N43" s="595">
        <f>Ref_table!N215</f>
        <v>0</v>
      </c>
      <c r="O43" s="596">
        <f>Ref_table!O215</f>
        <v>0</v>
      </c>
      <c r="P43" s="597">
        <f>Ref_table!P215</f>
        <v>0</v>
      </c>
      <c r="Q43" s="598">
        <f>Ref_table!Q215</f>
        <v>0</v>
      </c>
    </row>
    <row r="44" spans="1:17" ht="15">
      <c r="A44" s="142" t="str">
        <f>Ref_table!A216</f>
        <v>d171</v>
      </c>
      <c r="B44" s="109" t="str">
        <f>Ref_table!B216</f>
        <v>Water quality</v>
      </c>
      <c r="C44" s="62">
        <f>Ref_table!C216</f>
        <v>0.7</v>
      </c>
      <c r="D44" s="234">
        <f>Ref_table!D216</f>
        <v>0.6</v>
      </c>
      <c r="E44" s="234">
        <f>Ref_table!E216</f>
        <v>0.65</v>
      </c>
      <c r="F44" s="234">
        <f>Ref_table!F216</f>
        <v>0.8</v>
      </c>
      <c r="G44" s="62">
        <f>Ref_table!G216</f>
        <v>1</v>
      </c>
      <c r="H44" s="62">
        <f>Ref_table!H216</f>
        <v>0.8</v>
      </c>
      <c r="I44" s="282">
        <f>Ref_table!I216</f>
        <v>0</v>
      </c>
      <c r="J44" s="234">
        <f>Ref_table!J216</f>
        <v>0.7506352435974685</v>
      </c>
      <c r="K44" s="283">
        <f>Ref_table!K216</f>
        <v>0.7506352435974685</v>
      </c>
      <c r="L44" s="392">
        <f>Ref_table!L216</f>
        <v>0</v>
      </c>
      <c r="M44" s="305">
        <f>Ref_table!M216</f>
        <v>0</v>
      </c>
      <c r="N44" s="305">
        <f>Ref_table!N216</f>
        <v>0</v>
      </c>
      <c r="O44" s="313">
        <f>Ref_table!O216</f>
        <v>0</v>
      </c>
      <c r="P44" s="393">
        <f>Ref_table!P216</f>
        <v>0</v>
      </c>
      <c r="Q44" s="368">
        <f>Ref_table!Q216</f>
        <v>0</v>
      </c>
    </row>
    <row r="45" spans="1:17" ht="15">
      <c r="A45" s="142" t="str">
        <f>Ref_table!A217</f>
        <v>d172</v>
      </c>
      <c r="B45" s="60" t="str">
        <f>Ref_table!B217</f>
        <v>Fragmentation</v>
      </c>
      <c r="C45" s="62">
        <f>Ref_table!C217</f>
        <v>0.6</v>
      </c>
      <c r="D45" s="62">
        <f>Ref_table!D217</f>
        <v>0.6</v>
      </c>
      <c r="E45" s="62">
        <f>Ref_table!E217</f>
        <v>0.75</v>
      </c>
      <c r="F45" s="62">
        <f>Ref_table!F217</f>
        <v>0.6</v>
      </c>
      <c r="G45" s="62">
        <f>Ref_table!G217</f>
        <v>0.8</v>
      </c>
      <c r="H45" s="62">
        <f>Ref_table!H217</f>
        <v>0.6</v>
      </c>
      <c r="I45" s="282">
        <f>Ref_table!I217</f>
        <v>0</v>
      </c>
      <c r="J45" s="234">
        <f>Ref_table!J217</f>
        <v>0.6516503763098902</v>
      </c>
      <c r="K45" s="283">
        <f>Ref_table!K217</f>
        <v>0.6516503763098902</v>
      </c>
      <c r="L45" s="334">
        <f>Ref_table!L217</f>
        <v>0</v>
      </c>
      <c r="M45" s="335">
        <f>Ref_table!M217</f>
        <v>0</v>
      </c>
      <c r="N45" s="335">
        <f>Ref_table!N217</f>
        <v>0</v>
      </c>
      <c r="O45" s="389">
        <f>Ref_table!O217</f>
        <v>0</v>
      </c>
      <c r="P45" s="390">
        <f>Ref_table!P217</f>
        <v>0</v>
      </c>
      <c r="Q45" s="368">
        <f>Ref_table!Q217</f>
        <v>0</v>
      </c>
    </row>
    <row r="46" spans="1:17" ht="15">
      <c r="A46" s="142" t="str">
        <f>Ref_table!A218</f>
        <v>d173</v>
      </c>
      <c r="B46" s="60" t="str">
        <f>Ref_table!B218</f>
        <v>Rivers green ecotones</v>
      </c>
      <c r="C46" s="62">
        <f>Ref_table!C218</f>
        <v>0.8</v>
      </c>
      <c r="D46" s="62">
        <f>Ref_table!D218</f>
        <v>0.7</v>
      </c>
      <c r="E46" s="62">
        <f>Ref_table!E218</f>
        <v>0.9</v>
      </c>
      <c r="F46" s="62">
        <f>Ref_table!F218</f>
        <v>0.9</v>
      </c>
      <c r="G46" s="62">
        <f>Ref_table!G218</f>
        <v>0.95</v>
      </c>
      <c r="H46" s="62">
        <f>Ref_table!H218</f>
        <v>0.7</v>
      </c>
      <c r="I46" s="282">
        <f>Ref_table!I218</f>
        <v>0</v>
      </c>
      <c r="J46" s="234">
        <f>Ref_table!J218</f>
        <v>0.8166251551225208</v>
      </c>
      <c r="K46" s="283">
        <f>Ref_table!K218</f>
        <v>0.8166251551225208</v>
      </c>
      <c r="L46" s="334">
        <f>Ref_table!L218</f>
        <v>0</v>
      </c>
      <c r="M46" s="335">
        <f>Ref_table!M218</f>
        <v>0</v>
      </c>
      <c r="N46" s="335">
        <f>Ref_table!N218</f>
        <v>0</v>
      </c>
      <c r="O46" s="389">
        <f>Ref_table!O218</f>
        <v>0</v>
      </c>
      <c r="P46" s="390">
        <f>Ref_table!P218</f>
        <v>0</v>
      </c>
      <c r="Q46" s="368">
        <f>Ref_table!Q218</f>
        <v>0</v>
      </c>
    </row>
    <row r="47" spans="1:17" ht="15.75">
      <c r="A47" s="413" t="str">
        <f>Ref_table!A219</f>
        <v>D18</v>
      </c>
      <c r="B47" s="574" t="str">
        <f>Ref_table!B219</f>
        <v>River integrity composite index, mean value t10 (~2005) [(d181+d182+d183)/3]</v>
      </c>
      <c r="C47" s="599">
        <f>Ref_table!C219</f>
        <v>0.6733333333333333</v>
      </c>
      <c r="D47" s="599">
        <f>Ref_table!D219</f>
        <v>0.5766666666666667</v>
      </c>
      <c r="E47" s="599">
        <f>Ref_table!E219</f>
        <v>0.7033333333333333</v>
      </c>
      <c r="F47" s="599">
        <f>Ref_table!F219</f>
        <v>0.7366666666666667</v>
      </c>
      <c r="G47" s="599">
        <f>Ref_table!G219</f>
        <v>0.8516666666666666</v>
      </c>
      <c r="H47" s="599">
        <f>Ref_table!H219</f>
        <v>0.6433333333333334</v>
      </c>
      <c r="I47" s="592">
        <f>Ref_table!I219</f>
        <v>0</v>
      </c>
      <c r="J47" s="410">
        <f>Ref_table!J219</f>
        <v>0.6876979298826268</v>
      </c>
      <c r="K47" s="593">
        <f>Ref_table!K219</f>
        <v>0.6876979298826268</v>
      </c>
      <c r="L47" s="594">
        <f>Ref_table!L219</f>
        <v>0</v>
      </c>
      <c r="M47" s="595">
        <f>Ref_table!M219</f>
        <v>0</v>
      </c>
      <c r="N47" s="595">
        <f>Ref_table!N219</f>
        <v>0</v>
      </c>
      <c r="O47" s="596">
        <f>Ref_table!O219</f>
        <v>0</v>
      </c>
      <c r="P47" s="597">
        <f>Ref_table!P219</f>
        <v>0</v>
      </c>
      <c r="Q47" s="598">
        <f>Ref_table!Q219</f>
        <v>0</v>
      </c>
    </row>
    <row r="48" spans="1:17" ht="15">
      <c r="A48" s="77" t="str">
        <f>Ref_table!A220</f>
        <v>d181</v>
      </c>
      <c r="B48" s="109" t="str">
        <f>Ref_table!B220</f>
        <v>Water quality</v>
      </c>
      <c r="C48" s="62">
        <f>Ref_table!C220</f>
        <v>0.7</v>
      </c>
      <c r="D48" s="62">
        <f>Ref_table!D220</f>
        <v>0.55</v>
      </c>
      <c r="E48" s="62">
        <f>Ref_table!E220</f>
        <v>0.6</v>
      </c>
      <c r="F48" s="62">
        <f>Ref_table!F220</f>
        <v>0.8</v>
      </c>
      <c r="G48" s="62">
        <f>Ref_table!G220</f>
        <v>1</v>
      </c>
      <c r="H48" s="62">
        <f>Ref_table!H220</f>
        <v>0.75</v>
      </c>
      <c r="I48" s="282">
        <f>Ref_table!I220</f>
        <v>0</v>
      </c>
      <c r="J48" s="234">
        <f>Ref_table!J220</f>
        <v>0.7230276921107667</v>
      </c>
      <c r="K48" s="283">
        <f>Ref_table!K220</f>
        <v>0.7230276921107667</v>
      </c>
      <c r="L48" s="334">
        <f>Ref_table!L220</f>
        <v>0</v>
      </c>
      <c r="M48" s="335">
        <f>Ref_table!M220</f>
        <v>0</v>
      </c>
      <c r="N48" s="335">
        <f>Ref_table!N220</f>
        <v>0</v>
      </c>
      <c r="O48" s="389">
        <f>Ref_table!O220</f>
        <v>0</v>
      </c>
      <c r="P48" s="390">
        <f>Ref_table!P220</f>
        <v>0</v>
      </c>
      <c r="Q48" s="368">
        <f>Ref_table!Q220</f>
        <v>0</v>
      </c>
    </row>
    <row r="49" spans="1:17" ht="15">
      <c r="A49" s="77" t="str">
        <f>Ref_table!A221</f>
        <v>d182</v>
      </c>
      <c r="B49" s="60" t="str">
        <f>Ref_table!B221</f>
        <v>Fragmentation</v>
      </c>
      <c r="C49" s="62">
        <f>Ref_table!C221</f>
        <v>0.6</v>
      </c>
      <c r="D49" s="62">
        <f>Ref_table!D221</f>
        <v>0.55</v>
      </c>
      <c r="E49" s="62">
        <f>Ref_table!E221</f>
        <v>0.7</v>
      </c>
      <c r="F49" s="62">
        <f>Ref_table!F221</f>
        <v>0.6</v>
      </c>
      <c r="G49" s="62">
        <f>Ref_table!G221</f>
        <v>0.7</v>
      </c>
      <c r="H49" s="62">
        <f>Ref_table!H221</f>
        <v>0.55</v>
      </c>
      <c r="I49" s="282">
        <f>Ref_table!I221</f>
        <v>0</v>
      </c>
      <c r="J49" s="234">
        <f>Ref_table!J221</f>
        <v>0.6080005592749627</v>
      </c>
      <c r="K49" s="283">
        <f>Ref_table!K221</f>
        <v>0.6080005592749627</v>
      </c>
      <c r="L49" s="334">
        <f>Ref_table!L221</f>
        <v>0</v>
      </c>
      <c r="M49" s="335">
        <f>Ref_table!M221</f>
        <v>0</v>
      </c>
      <c r="N49" s="335">
        <f>Ref_table!N221</f>
        <v>0</v>
      </c>
      <c r="O49" s="389">
        <f>Ref_table!O221</f>
        <v>0</v>
      </c>
      <c r="P49" s="390">
        <f>Ref_table!P221</f>
        <v>0</v>
      </c>
      <c r="Q49" s="368">
        <f>Ref_table!Q221</f>
        <v>0</v>
      </c>
    </row>
    <row r="50" spans="1:17" ht="15">
      <c r="A50" s="77" t="str">
        <f>Ref_table!A222</f>
        <v>d183</v>
      </c>
      <c r="B50" s="60" t="str">
        <f>Ref_table!B222</f>
        <v>Rivers green ecotones</v>
      </c>
      <c r="C50" s="62">
        <f>Ref_table!C222</f>
        <v>0.7200000000000001</v>
      </c>
      <c r="D50" s="62">
        <f>Ref_table!D222</f>
        <v>0.63</v>
      </c>
      <c r="E50" s="62">
        <f>Ref_table!E222</f>
        <v>0.81</v>
      </c>
      <c r="F50" s="62">
        <f>Ref_table!F222</f>
        <v>0.81</v>
      </c>
      <c r="G50" s="62">
        <f>Ref_table!G222</f>
        <v>0.855</v>
      </c>
      <c r="H50" s="62">
        <f>Ref_table!H222</f>
        <v>0.63</v>
      </c>
      <c r="I50" s="282">
        <f>Ref_table!I222</f>
        <v>0</v>
      </c>
      <c r="J50" s="234">
        <f>Ref_table!J222</f>
        <v>0.7320655382621511</v>
      </c>
      <c r="K50" s="283">
        <f>Ref_table!K222</f>
        <v>0.7320655382621511</v>
      </c>
      <c r="L50" s="334">
        <f>Ref_table!L222</f>
        <v>0</v>
      </c>
      <c r="M50" s="335">
        <f>Ref_table!M222</f>
        <v>0</v>
      </c>
      <c r="N50" s="335">
        <f>Ref_table!N222</f>
        <v>0</v>
      </c>
      <c r="O50" s="389">
        <f>Ref_table!O222</f>
        <v>0</v>
      </c>
      <c r="P50" s="390">
        <f>Ref_table!P222</f>
        <v>0</v>
      </c>
      <c r="Q50" s="368">
        <f>Ref_table!Q222</f>
        <v>0</v>
      </c>
    </row>
    <row r="51" spans="1:17" ht="15.75">
      <c r="A51" s="413" t="str">
        <f>Ref_table!A223</f>
        <v>D19</v>
      </c>
      <c r="B51" s="574" t="str">
        <f>Ref_table!B223</f>
        <v>Rivers Ecosystem Potential (REP) t1 (~1995), weighted 10^3 srkm</v>
      </c>
      <c r="C51" s="410">
        <f>Ref_table!C223</f>
        <v>5946.826409183799</v>
      </c>
      <c r="D51" s="410">
        <f>Ref_table!D223</f>
        <v>9157.756362911334</v>
      </c>
      <c r="E51" s="410">
        <f>Ref_table!E223</f>
        <v>10849.992923265332</v>
      </c>
      <c r="F51" s="410">
        <f>Ref_table!F223</f>
        <v>9835.707275227</v>
      </c>
      <c r="G51" s="410">
        <f>Ref_table!G223</f>
        <v>10810.8014867325</v>
      </c>
      <c r="H51" s="410">
        <f>Ref_table!H223</f>
        <v>16658.5006239582</v>
      </c>
      <c r="I51" s="592">
        <f>Ref_table!I223</f>
        <v>0</v>
      </c>
      <c r="J51" s="410">
        <f>Ref_table!J223</f>
        <v>63259.58508127816</v>
      </c>
      <c r="K51" s="593">
        <f>Ref_table!K223</f>
        <v>63259.58508127816</v>
      </c>
      <c r="L51" s="594">
        <f>Ref_table!L223</f>
        <v>0</v>
      </c>
      <c r="M51" s="595">
        <f>Ref_table!M223</f>
        <v>0</v>
      </c>
      <c r="N51" s="595">
        <f>Ref_table!N223</f>
        <v>0</v>
      </c>
      <c r="O51" s="596">
        <f>Ref_table!O223</f>
        <v>0</v>
      </c>
      <c r="P51" s="597">
        <f>Ref_table!P223</f>
        <v>0</v>
      </c>
      <c r="Q51" s="598">
        <f>Ref_table!Q223</f>
        <v>0</v>
      </c>
    </row>
    <row r="52" spans="1:17" ht="15.75">
      <c r="A52" s="413" t="str">
        <f>Ref_table!A224</f>
        <v>D20</v>
      </c>
      <c r="B52" s="574" t="str">
        <f>Ref_table!B224</f>
        <v>Rivers Ecosystem Potential (REP) t10 (~2005), weighted 10^3 srkm</v>
      </c>
      <c r="C52" s="410">
        <f>Ref_table!C224</f>
        <v>5720.280641214894</v>
      </c>
      <c r="D52" s="410">
        <f>Ref_table!D224</f>
        <v>8338.378162019268</v>
      </c>
      <c r="E52" s="410">
        <f>Ref_table!E224</f>
        <v>9953.689160039066</v>
      </c>
      <c r="F52" s="410">
        <f>Ref_table!F224</f>
        <v>9450.8317731529</v>
      </c>
      <c r="G52" s="410">
        <f>Ref_table!G224</f>
        <v>10044.217381309649</v>
      </c>
      <c r="H52" s="410">
        <f>Ref_table!H224</f>
        <v>15309.955335352064</v>
      </c>
      <c r="I52" s="592">
        <f>Ref_table!I224</f>
        <v>0</v>
      </c>
      <c r="J52" s="410">
        <f>Ref_table!J224</f>
        <v>58817.352453087835</v>
      </c>
      <c r="K52" s="593">
        <f>Ref_table!K224</f>
        <v>58817.352453087835</v>
      </c>
      <c r="L52" s="594">
        <f>Ref_table!L224</f>
        <v>0</v>
      </c>
      <c r="M52" s="595">
        <f>Ref_table!M224</f>
        <v>0</v>
      </c>
      <c r="N52" s="595">
        <f>Ref_table!N224</f>
        <v>0</v>
      </c>
      <c r="O52" s="596">
        <f>Ref_table!O224</f>
        <v>0</v>
      </c>
      <c r="P52" s="597">
        <f>Ref_table!P224</f>
        <v>0</v>
      </c>
      <c r="Q52" s="598">
        <f>Ref_table!Q224</f>
        <v>0</v>
      </c>
    </row>
    <row r="53" spans="1:17" ht="15">
      <c r="A53" s="71" t="str">
        <f>Ref_table!A225</f>
        <v>D16 = D20-D19</v>
      </c>
      <c r="B53" s="34" t="str">
        <f>Ref_table!B225</f>
        <v>Change in REP</v>
      </c>
      <c r="C53" s="10">
        <f>Ref_table!C225</f>
        <v>-226.54576796890524</v>
      </c>
      <c r="D53" s="10">
        <f>Ref_table!D225</f>
        <v>-819.3782008920662</v>
      </c>
      <c r="E53" s="10">
        <f>Ref_table!E225</f>
        <v>-896.3037632262658</v>
      </c>
      <c r="F53" s="10">
        <f>Ref_table!F225</f>
        <v>-384.87550207409913</v>
      </c>
      <c r="G53" s="10">
        <f>Ref_table!G225</f>
        <v>-766.5841054228513</v>
      </c>
      <c r="H53" s="10">
        <f>Ref_table!H225</f>
        <v>-1348.5452886061357</v>
      </c>
      <c r="I53" s="87">
        <f>Ref_table!I225</f>
        <v>0</v>
      </c>
      <c r="J53" s="51">
        <f>Ref_table!J225</f>
        <v>-4442.232628190323</v>
      </c>
      <c r="K53" s="172">
        <f>Ref_table!K225</f>
        <v>-4442.232628190323</v>
      </c>
      <c r="L53" s="326">
        <f>Ref_table!L225</f>
        <v>0</v>
      </c>
      <c r="M53" s="316">
        <f>Ref_table!M225</f>
        <v>0</v>
      </c>
      <c r="N53" s="316">
        <f>Ref_table!N225</f>
        <v>0</v>
      </c>
      <c r="O53" s="302">
        <f>Ref_table!O225</f>
        <v>0</v>
      </c>
      <c r="P53" s="388">
        <f>Ref_table!P225</f>
        <v>0</v>
      </c>
      <c r="Q53" s="373">
        <f>Ref_table!Q225</f>
        <v>0</v>
      </c>
    </row>
    <row r="54" spans="1:17" ht="15">
      <c r="A54" s="73" t="str">
        <f>Ref_table!A226</f>
        <v>D21</v>
      </c>
      <c r="B54" s="235" t="str">
        <f>Ref_table!B226</f>
        <v>Mean Rivers Ecosystem Potential (REP) t1 (~1995)/ points by km^2</v>
      </c>
      <c r="C54" s="61">
        <f>Ref_table!C226</f>
        <v>16.932390068462723</v>
      </c>
      <c r="D54" s="61">
        <f>Ref_table!D226</f>
        <v>12.116559805871795</v>
      </c>
      <c r="E54" s="61">
        <f>Ref_table!E226</f>
        <v>18.355850856441133</v>
      </c>
      <c r="F54" s="61">
        <f>Ref_table!F226</f>
        <v>14.44812495071979</v>
      </c>
      <c r="G54" s="61">
        <f>Ref_table!G226</f>
        <v>24.967716979951717</v>
      </c>
      <c r="H54" s="61">
        <f>Ref_table!H226</f>
        <v>11.011010053830244</v>
      </c>
      <c r="I54" s="277">
        <f>Ref_table!I226</f>
        <v>0</v>
      </c>
      <c r="J54" s="61">
        <f>Ref_table!J226</f>
        <v>14.627328787878785</v>
      </c>
      <c r="K54" s="239">
        <f>Ref_table!K226</f>
        <v>14.627328787878785</v>
      </c>
      <c r="L54" s="334">
        <f>Ref_table!L226</f>
        <v>0</v>
      </c>
      <c r="M54" s="335">
        <f>Ref_table!M226</f>
        <v>0</v>
      </c>
      <c r="N54" s="335">
        <f>Ref_table!N226</f>
        <v>0</v>
      </c>
      <c r="O54" s="389">
        <f>Ref_table!O226</f>
        <v>0</v>
      </c>
      <c r="P54" s="390">
        <f>Ref_table!P226</f>
        <v>0</v>
      </c>
      <c r="Q54" s="368">
        <f>Ref_table!Q226</f>
        <v>0</v>
      </c>
    </row>
    <row r="55" spans="1:17" ht="15.75" thickBot="1">
      <c r="A55" s="74" t="str">
        <f>Ref_table!A227</f>
        <v>D22</v>
      </c>
      <c r="B55" s="237" t="str">
        <f>Ref_table!B227</f>
        <v>Mean Rivers Ecosystem Potential (REP) t10 (~2005)/ points by km^2</v>
      </c>
      <c r="C55" s="179">
        <f>Ref_table!C227</f>
        <v>16.287346637283196</v>
      </c>
      <c r="D55" s="179">
        <f>Ref_table!D227</f>
        <v>11.032446560083267</v>
      </c>
      <c r="E55" s="179">
        <f>Ref_table!E227</f>
        <v>16.839497959604696</v>
      </c>
      <c r="F55" s="179">
        <f>Ref_table!F227</f>
        <v>13.882763539604671</v>
      </c>
      <c r="G55" s="179">
        <f>Ref_table!G227</f>
        <v>23.197278866827865</v>
      </c>
      <c r="H55" s="179">
        <f>Ref_table!H227</f>
        <v>10.119642573282084</v>
      </c>
      <c r="I55" s="278">
        <f>Ref_table!I227</f>
        <v>0</v>
      </c>
      <c r="J55" s="179">
        <f>Ref_table!J227</f>
        <v>13.600164333333332</v>
      </c>
      <c r="K55" s="263">
        <f>Ref_table!K227</f>
        <v>13.600164333333332</v>
      </c>
      <c r="L55" s="394">
        <f>Ref_table!L227</f>
        <v>0</v>
      </c>
      <c r="M55" s="395">
        <f>Ref_table!M227</f>
        <v>0</v>
      </c>
      <c r="N55" s="395">
        <f>Ref_table!N227</f>
        <v>0</v>
      </c>
      <c r="O55" s="396">
        <f>Ref_table!O227</f>
        <v>0</v>
      </c>
      <c r="P55" s="397">
        <f>Ref_table!P227</f>
        <v>0</v>
      </c>
      <c r="Q55" s="369">
        <f>Ref_table!Q227</f>
        <v>0</v>
      </c>
    </row>
    <row r="56" ht="15">
      <c r="A56" s="93"/>
    </row>
    <row r="57" ht="15">
      <c r="A57" s="93"/>
    </row>
    <row r="58" ht="15">
      <c r="A58" s="93"/>
    </row>
  </sheetData>
  <sheetProtection/>
  <mergeCells count="8">
    <mergeCell ref="A24:K24"/>
    <mergeCell ref="A36:K36"/>
    <mergeCell ref="A3:B4"/>
    <mergeCell ref="C3:J3"/>
    <mergeCell ref="K3:K4"/>
    <mergeCell ref="L3:O3"/>
    <mergeCell ref="Q3:Q4"/>
    <mergeCell ref="A5:K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Q20"/>
  <sheetViews>
    <sheetView showZeros="0" zoomScale="60" zoomScaleNormal="60" zoomScalePageLayoutView="0" workbookViewId="0" topLeftCell="A1">
      <selection activeCell="J34" sqref="I34:J34"/>
    </sheetView>
  </sheetViews>
  <sheetFormatPr defaultColWidth="9.140625" defaultRowHeight="15"/>
  <cols>
    <col min="1" max="1" width="15.8515625" style="0" customWidth="1"/>
    <col min="2" max="2" width="99.7109375" style="0" customWidth="1"/>
    <col min="3" max="3" width="12.421875" style="0" customWidth="1"/>
    <col min="4" max="4" width="13.7109375" style="0" customWidth="1"/>
    <col min="5" max="5" width="14.8515625" style="0" customWidth="1"/>
    <col min="6" max="6" width="11.7109375" style="0" customWidth="1"/>
    <col min="7" max="7" width="13.8515625" style="0" customWidth="1"/>
    <col min="8" max="9" width="12.57421875" style="0" customWidth="1"/>
    <col min="10" max="10" width="14.140625" style="0" customWidth="1"/>
    <col min="11" max="11" width="15.00390625" style="0" customWidth="1"/>
    <col min="12" max="12" width="12.00390625" style="0" customWidth="1"/>
    <col min="13" max="13" width="14.140625" style="0" customWidth="1"/>
    <col min="14" max="14" width="12.00390625" style="0" customWidth="1"/>
    <col min="15" max="15" width="12.7109375" style="0" customWidth="1"/>
    <col min="16" max="17" width="17.7109375" style="0" customWidth="1"/>
  </cols>
  <sheetData>
    <row r="1" ht="15">
      <c r="A1" t="str">
        <f>'Table D - Green Infrastructures'!A1</f>
        <v>SECA - Simplified Ecosystem Capital Accounts</v>
      </c>
    </row>
    <row r="2" ht="15.75" thickBot="1">
      <c r="A2" s="93" t="str">
        <f>'Table D - Green Infrastructures'!A2</f>
        <v>Draft Tables and Mock-up</v>
      </c>
    </row>
    <row r="3" spans="1:17" ht="15">
      <c r="A3" s="1036" t="str">
        <f>Ref_table!A229</f>
        <v>[E] Ecosystem Capital Biodiversity Account:                                                                                                    Biodiversity Infrastructure Integrity (BII) &amp; Ecosystem's Biodiversity Rating (EBR)</v>
      </c>
      <c r="B3" s="1037">
        <f>Ref_table!B229</f>
        <v>0</v>
      </c>
      <c r="C3" s="1101" t="str">
        <f>Ref_table!C229</f>
        <v>Inland ecosytem landscapes</v>
      </c>
      <c r="D3" s="1102">
        <f>Ref_table!D229</f>
        <v>0</v>
      </c>
      <c r="E3" s="1102">
        <f>Ref_table!E229</f>
        <v>0</v>
      </c>
      <c r="F3" s="1102">
        <f>Ref_table!F229</f>
        <v>0</v>
      </c>
      <c r="G3" s="1102">
        <f>Ref_table!G229</f>
        <v>0</v>
      </c>
      <c r="H3" s="1102">
        <f>Ref_table!H229</f>
        <v>0</v>
      </c>
      <c r="I3" s="1102">
        <f>Ref_table!I229</f>
        <v>0</v>
      </c>
      <c r="J3" s="1103">
        <f>Ref_table!J229</f>
        <v>0</v>
      </c>
      <c r="K3" s="1048" t="str">
        <f>Ref_table!K229</f>
        <v>TOTAL 1 inland ecosystems</v>
      </c>
      <c r="L3" s="1098" t="str">
        <f>Ref_table!L229</f>
        <v>Sea</v>
      </c>
      <c r="M3" s="1097">
        <f>Ref_table!M229</f>
        <v>0</v>
      </c>
      <c r="N3" s="1097">
        <f>Ref_table!N229</f>
        <v>0</v>
      </c>
      <c r="O3" s="1100">
        <f>Ref_table!O229</f>
        <v>0</v>
      </c>
      <c r="P3" s="499" t="str">
        <f>Ref_table!P229</f>
        <v>Atmosphere</v>
      </c>
      <c r="Q3" s="1053" t="str">
        <f>Ref_table!Q229</f>
        <v>GRAND TOTAL</v>
      </c>
    </row>
    <row r="4" spans="1:17" ht="105.75" thickBot="1">
      <c r="A4" s="1040">
        <f>Ref_table!A230</f>
        <v>0</v>
      </c>
      <c r="B4" s="1041">
        <f>Ref_table!B230</f>
        <v>0</v>
      </c>
      <c r="C4" s="238" t="str">
        <f>Ref_table!C230</f>
        <v>Dominant urban landscape</v>
      </c>
      <c r="D4" s="238" t="str">
        <f>Ref_table!D230</f>
        <v>Dominant agriculture/ cropland</v>
      </c>
      <c r="E4" s="238" t="str">
        <f>Ref_table!E230</f>
        <v>Dominant agriculture/ mixed landscape</v>
      </c>
      <c r="F4" s="238" t="str">
        <f>Ref_table!F230</f>
        <v>Dominant forested landscape</v>
      </c>
      <c r="G4" s="238" t="str">
        <f>Ref_table!G230</f>
        <v>Other dominant natural landscape</v>
      </c>
      <c r="H4" s="238" t="str">
        <f>Ref_table!H230</f>
        <v>Composite landscape</v>
      </c>
      <c r="I4" s="153" t="str">
        <f>Ref_table!I230</f>
        <v>TOT Land</v>
      </c>
      <c r="J4" s="238" t="str">
        <f>Ref_table!J230</f>
        <v>Rivers</v>
      </c>
      <c r="K4" s="1049">
        <f>Ref_table!K230</f>
        <v>0</v>
      </c>
      <c r="L4" s="353" t="str">
        <f>Ref_table!L230</f>
        <v>Fisheries (EEZ, all fishing areas)</v>
      </c>
      <c r="M4" s="152" t="str">
        <f>Ref_table!M230</f>
        <v>International</v>
      </c>
      <c r="N4" s="512" t="str">
        <f>Ref_table!N230</f>
        <v>TOTAL  Fisheries</v>
      </c>
      <c r="O4" s="371" t="str">
        <f>Ref_table!O230</f>
        <v>Regulation potential (C assimilation)</v>
      </c>
      <c r="P4" s="371" t="str">
        <f>Ref_table!P230</f>
        <v>Regulation potential (C assimilation)</v>
      </c>
      <c r="Q4" s="1107">
        <f>Ref_table!Q230</f>
        <v>0</v>
      </c>
    </row>
    <row r="5" spans="1:17" ht="15.75">
      <c r="A5" s="1111" t="str">
        <f>Ref_table!A231</f>
        <v>Biodiversity Infrastructure Integrity Index</v>
      </c>
      <c r="B5" s="1060">
        <f>Ref_table!B231</f>
        <v>0</v>
      </c>
      <c r="C5" s="1060">
        <f>Ref_table!C231</f>
        <v>0</v>
      </c>
      <c r="D5" s="1060">
        <f>Ref_table!D231</f>
        <v>0</v>
      </c>
      <c r="E5" s="1060">
        <f>Ref_table!E231</f>
        <v>0</v>
      </c>
      <c r="F5" s="1060">
        <f>Ref_table!F231</f>
        <v>0</v>
      </c>
      <c r="G5" s="1060">
        <f>Ref_table!G231</f>
        <v>0</v>
      </c>
      <c r="H5" s="1060">
        <f>Ref_table!H231</f>
        <v>0</v>
      </c>
      <c r="I5" s="1060">
        <f>Ref_table!I231</f>
        <v>0</v>
      </c>
      <c r="J5" s="1060">
        <f>Ref_table!J231</f>
        <v>0</v>
      </c>
      <c r="K5" s="1061">
        <f>Ref_table!K231</f>
        <v>0</v>
      </c>
      <c r="L5" s="331">
        <f>Ref_table!L231</f>
        <v>0</v>
      </c>
      <c r="M5" s="307">
        <f>Ref_table!M231</f>
        <v>0</v>
      </c>
      <c r="N5" s="307">
        <f>Ref_table!N231</f>
        <v>0</v>
      </c>
      <c r="O5" s="338">
        <f>Ref_table!O231</f>
        <v>0</v>
      </c>
      <c r="P5" s="336">
        <f>Ref_table!P231</f>
        <v>0</v>
      </c>
      <c r="Q5" s="506">
        <f>Ref_table!Q231</f>
        <v>0</v>
      </c>
    </row>
    <row r="6" spans="1:17" ht="15">
      <c r="A6" s="55" t="str">
        <f>Ref_table!A232</f>
        <v>E1</v>
      </c>
      <c r="B6" s="19" t="str">
        <f>Ref_table!B232</f>
        <v>BII = GEI weighted LEP &amp; GEI weighted REP, t1 (~1995) [(SQRT D4*D10)] &amp; [(SQRT D19*D10)]</v>
      </c>
      <c r="C6" s="4">
        <f>Ref_table!C232</f>
        <v>2622.8541958782776</v>
      </c>
      <c r="D6" s="4">
        <f>Ref_table!D232</f>
        <v>15635.247455541268</v>
      </c>
      <c r="E6" s="4">
        <f>Ref_table!E232</f>
        <v>16141.573739901456</v>
      </c>
      <c r="F6" s="4">
        <f>Ref_table!F232</f>
        <v>28226.200730933724</v>
      </c>
      <c r="G6" s="4">
        <f>Ref_table!G232</f>
        <v>23358.999474565317</v>
      </c>
      <c r="H6" s="4">
        <f>Ref_table!H232</f>
        <v>29858.01352759171</v>
      </c>
      <c r="I6" s="132">
        <f>Ref_table!I232</f>
        <v>115842.88912441177</v>
      </c>
      <c r="J6" s="4">
        <f>Ref_table!J232</f>
        <v>64419.16470532544</v>
      </c>
      <c r="K6" s="172">
        <f>Ref_table!K232</f>
        <v>180262.0538297372</v>
      </c>
      <c r="L6" s="326">
        <f>Ref_table!L232</f>
        <v>0</v>
      </c>
      <c r="M6" s="316">
        <f>Ref_table!M232</f>
        <v>0</v>
      </c>
      <c r="N6" s="316">
        <f>Ref_table!N232</f>
        <v>0</v>
      </c>
      <c r="O6" s="89">
        <f>Ref_table!O232</f>
        <v>0</v>
      </c>
      <c r="P6" s="501">
        <f>Ref_table!P232</f>
        <v>0</v>
      </c>
      <c r="Q6" s="508">
        <f>Ref_table!Q232</f>
        <v>0</v>
      </c>
    </row>
    <row r="7" spans="1:17" ht="15">
      <c r="A7" s="55" t="str">
        <f>Ref_table!A233</f>
        <v>E2</v>
      </c>
      <c r="B7" s="19" t="str">
        <f>Ref_table!B233</f>
        <v>BII = GEI weighted LEP &amp; GEI weighted REP, t10 (~2005)  [(SQRT D6*D11) &amp; [(SQRT D20*D11)]</v>
      </c>
      <c r="C7" s="4">
        <f>Ref_table!C233</f>
        <v>2512.1681948811984</v>
      </c>
      <c r="D7" s="4">
        <f>Ref_table!D233</f>
        <v>15419.187987039026</v>
      </c>
      <c r="E7" s="4">
        <f>Ref_table!E233</f>
        <v>15518.371573902099</v>
      </c>
      <c r="F7" s="4">
        <f>Ref_table!F233</f>
        <v>27825.80674622915</v>
      </c>
      <c r="G7" s="4">
        <f>Ref_table!G233</f>
        <v>23472.15570321885</v>
      </c>
      <c r="H7" s="4">
        <f>Ref_table!H233</f>
        <v>29245.6475834186</v>
      </c>
      <c r="I7" s="132">
        <f>Ref_table!I233</f>
        <v>113993.33778868892</v>
      </c>
      <c r="J7" s="4">
        <f>Ref_table!J233</f>
        <v>59652.74363691761</v>
      </c>
      <c r="K7" s="220">
        <f>Ref_table!K233</f>
        <v>173646.08142560654</v>
      </c>
      <c r="L7" s="326">
        <f>Ref_table!L233</f>
        <v>0</v>
      </c>
      <c r="M7" s="316">
        <f>Ref_table!M233</f>
        <v>0</v>
      </c>
      <c r="N7" s="316">
        <f>Ref_table!N233</f>
        <v>0</v>
      </c>
      <c r="O7" s="89">
        <f>Ref_table!O233</f>
        <v>0</v>
      </c>
      <c r="P7" s="501">
        <f>Ref_table!P233</f>
        <v>0</v>
      </c>
      <c r="Q7" s="508">
        <f>Ref_table!Q233</f>
        <v>0</v>
      </c>
    </row>
    <row r="8" spans="1:17" ht="15">
      <c r="A8" s="63" t="str">
        <f>Ref_table!A234</f>
        <v>E2-E3</v>
      </c>
      <c r="B8" s="64" t="str">
        <f>Ref_table!B234</f>
        <v>Change in BIII</v>
      </c>
      <c r="C8" s="43">
        <f>Ref_table!C234</f>
        <v>-110.68600099707919</v>
      </c>
      <c r="D8" s="43">
        <f>Ref_table!D234</f>
        <v>-216.05946850224245</v>
      </c>
      <c r="E8" s="43">
        <f>Ref_table!E234</f>
        <v>-623.202165999357</v>
      </c>
      <c r="F8" s="43">
        <f>Ref_table!F234</f>
        <v>-400.3939847045731</v>
      </c>
      <c r="G8" s="43">
        <f>Ref_table!G234</f>
        <v>113.15622865353362</v>
      </c>
      <c r="H8" s="43">
        <f>Ref_table!H234</f>
        <v>-612.3659441731106</v>
      </c>
      <c r="I8" s="289">
        <f>Ref_table!I234</f>
        <v>-1849.5513357228483</v>
      </c>
      <c r="J8" s="43">
        <f>Ref_table!J234</f>
        <v>-4766.421068407835</v>
      </c>
      <c r="K8" s="220">
        <f>Ref_table!K234</f>
        <v>-6615.972404130684</v>
      </c>
      <c r="L8" s="334">
        <f>Ref_table!L234</f>
        <v>0</v>
      </c>
      <c r="M8" s="335">
        <f>Ref_table!M234</f>
        <v>0</v>
      </c>
      <c r="N8" s="335">
        <f>Ref_table!N234</f>
        <v>0</v>
      </c>
      <c r="O8" s="187">
        <f>Ref_table!O234</f>
        <v>0</v>
      </c>
      <c r="P8" s="502">
        <f>Ref_table!P234</f>
        <v>0</v>
      </c>
      <c r="Q8" s="393">
        <f>Ref_table!Q234</f>
        <v>0</v>
      </c>
    </row>
    <row r="9" spans="1:17" ht="15">
      <c r="A9" s="63" t="str">
        <f>Ref_table!A235</f>
        <v>E2-3 %</v>
      </c>
      <c r="B9" s="64" t="str">
        <f>Ref_table!B235</f>
        <v>Change in BIII %</v>
      </c>
      <c r="C9" s="58">
        <f>Ref_table!C235</f>
        <v>-4.220059245802467</v>
      </c>
      <c r="D9" s="58">
        <f>Ref_table!D235</f>
        <v>-1.3818743138962544</v>
      </c>
      <c r="E9" s="58">
        <f>Ref_table!E235</f>
        <v>-3.860851339784925</v>
      </c>
      <c r="F9" s="58">
        <f>Ref_table!F235</f>
        <v>-1.418518873727743</v>
      </c>
      <c r="G9" s="58">
        <f>Ref_table!G235</f>
        <v>0.48442241191342517</v>
      </c>
      <c r="H9" s="58">
        <f>Ref_table!H235</f>
        <v>-2.0509266083868067</v>
      </c>
      <c r="I9" s="285">
        <f>Ref_table!I235</f>
        <v>-1.5966032526489269</v>
      </c>
      <c r="J9" s="58">
        <f>Ref_table!J235</f>
        <v>-7.399073071206404</v>
      </c>
      <c r="K9" s="194">
        <f>Ref_table!K235</f>
        <v>-3.670196951367071</v>
      </c>
      <c r="L9" s="334">
        <f>Ref_table!L235</f>
        <v>0</v>
      </c>
      <c r="M9" s="335">
        <f>Ref_table!M235</f>
        <v>0</v>
      </c>
      <c r="N9" s="335">
        <f>Ref_table!N235</f>
        <v>0</v>
      </c>
      <c r="O9" s="187">
        <f>Ref_table!O235</f>
        <v>0</v>
      </c>
      <c r="P9" s="502">
        <f>Ref_table!P235</f>
        <v>0</v>
      </c>
      <c r="Q9" s="393">
        <f>Ref_table!Q235</f>
        <v>0</v>
      </c>
    </row>
    <row r="10" spans="1:17" ht="15">
      <c r="A10" s="63" t="str">
        <f>Ref_table!A236</f>
        <v>E4</v>
      </c>
      <c r="B10" s="64" t="str">
        <f>Ref_table!B236</f>
        <v>Mean Biodiversity Infrastructure Integrity index (BII) by km^2, t1 (~1995) </v>
      </c>
      <c r="C10" s="293">
        <f>Ref_table!C236</f>
        <v>7.46804888549127</v>
      </c>
      <c r="D10" s="293">
        <f>Ref_table!D236</f>
        <v>20.68688042869533</v>
      </c>
      <c r="E10" s="293">
        <f>Ref_table!E236</f>
        <v>27.308065752056542</v>
      </c>
      <c r="F10" s="293">
        <f>Ref_table!F236</f>
        <v>41.46277066132153</v>
      </c>
      <c r="G10" s="293">
        <f>Ref_table!G236</f>
        <v>53.94797865186429</v>
      </c>
      <c r="H10" s="293">
        <f>Ref_table!H236</f>
        <v>19.73568297418558</v>
      </c>
      <c r="I10" s="742">
        <f>Ref_table!I236</f>
        <v>26.786012345535315</v>
      </c>
      <c r="J10" s="61">
        <f>Ref_table!J236</f>
        <v>0.7532026693947577</v>
      </c>
      <c r="K10" s="239">
        <f>Ref_table!K236</f>
        <v>0.04168146733744898</v>
      </c>
      <c r="L10" s="233">
        <f>Ref_table!L236</f>
        <v>100</v>
      </c>
      <c r="M10" s="119">
        <f>Ref_table!M236</f>
        <v>100</v>
      </c>
      <c r="N10" s="330">
        <f>Ref_table!N236</f>
        <v>100</v>
      </c>
      <c r="O10" s="54">
        <f>Ref_table!O236</f>
        <v>0</v>
      </c>
      <c r="P10" s="503">
        <f>Ref_table!P236</f>
        <v>0</v>
      </c>
      <c r="Q10" s="393">
        <f>Ref_table!Q236</f>
        <v>0</v>
      </c>
    </row>
    <row r="11" spans="1:17" ht="15.75" thickBot="1">
      <c r="A11" s="63" t="str">
        <f>Ref_table!A237</f>
        <v>E5</v>
      </c>
      <c r="B11" s="64" t="str">
        <f>Ref_table!B237</f>
        <v>Mean Biodiversity Infrastructure Integrity index (BII) by km^2, t10 (~2005) </v>
      </c>
      <c r="C11" s="293">
        <f>Ref_table!C237</f>
        <v>6.9973031126560805</v>
      </c>
      <c r="D11" s="293">
        <f>Ref_table!D237</f>
        <v>20.52617505633151</v>
      </c>
      <c r="E11" s="293">
        <f>Ref_table!E237</f>
        <v>26.24056286689108</v>
      </c>
      <c r="F11" s="293">
        <f>Ref_table!F237</f>
        <v>41.92354873994295</v>
      </c>
      <c r="G11" s="293">
        <f>Ref_table!G237</f>
        <v>52.728155595232614</v>
      </c>
      <c r="H11" s="293">
        <f>Ref_table!H237</f>
        <v>19.313399504581884</v>
      </c>
      <c r="I11" s="742">
        <f>Ref_table!I237</f>
        <v>26.3583450869571</v>
      </c>
      <c r="J11" s="61">
        <f>Ref_table!J237</f>
        <v>0.6974726535119624</v>
      </c>
      <c r="K11" s="239">
        <f>Ref_table!K237</f>
        <v>0.04015167400132175</v>
      </c>
      <c r="L11" s="725">
        <f>Ref_table!L237</f>
        <v>100</v>
      </c>
      <c r="M11" s="726">
        <f>Ref_table!M237</f>
        <v>100</v>
      </c>
      <c r="N11" s="727">
        <f>Ref_table!N237</f>
        <v>100</v>
      </c>
      <c r="O11" s="728">
        <f>Ref_table!O237</f>
        <v>0</v>
      </c>
      <c r="P11" s="729">
        <f>Ref_table!P237</f>
        <v>0</v>
      </c>
      <c r="Q11" s="730">
        <f>Ref_table!Q237</f>
        <v>0</v>
      </c>
    </row>
    <row r="12" spans="1:17" ht="15.75">
      <c r="A12" s="1059" t="str">
        <f>Ref_table!A238</f>
        <v>Species/biotopes diagnosis</v>
      </c>
      <c r="B12" s="1060">
        <f>Ref_table!B238</f>
        <v>0</v>
      </c>
      <c r="C12" s="1060">
        <f>Ref_table!C238</f>
        <v>0</v>
      </c>
      <c r="D12" s="1060">
        <f>Ref_table!D238</f>
        <v>0</v>
      </c>
      <c r="E12" s="1060">
        <f>Ref_table!E238</f>
        <v>0</v>
      </c>
      <c r="F12" s="1060">
        <f>Ref_table!F238</f>
        <v>0</v>
      </c>
      <c r="G12" s="1060">
        <f>Ref_table!G238</f>
        <v>0</v>
      </c>
      <c r="H12" s="1060">
        <f>Ref_table!H238</f>
        <v>0</v>
      </c>
      <c r="I12" s="1060">
        <f>Ref_table!I238</f>
        <v>0</v>
      </c>
      <c r="J12" s="1060">
        <f>Ref_table!J238</f>
        <v>0</v>
      </c>
      <c r="K12" s="1061">
        <f>Ref_table!K238</f>
        <v>0</v>
      </c>
      <c r="L12" s="733">
        <f>Ref_table!L238</f>
        <v>0</v>
      </c>
      <c r="M12" s="734">
        <f>Ref_table!M238</f>
        <v>0</v>
      </c>
      <c r="N12" s="735">
        <f>Ref_table!N238</f>
        <v>0</v>
      </c>
      <c r="O12" s="736">
        <f>Ref_table!O238</f>
        <v>0</v>
      </c>
      <c r="P12" s="737">
        <f>Ref_table!P238</f>
        <v>0</v>
      </c>
      <c r="Q12" s="738">
        <f>Ref_table!Q238</f>
        <v>0</v>
      </c>
    </row>
    <row r="13" spans="1:17" ht="15.75">
      <c r="A13" s="413" t="str">
        <f>Ref_table!A239</f>
        <v>E5</v>
      </c>
      <c r="B13" s="574" t="str">
        <f>Ref_table!B239</f>
        <v>Species/biotopes diagnosis index, SBD t1 (~1995), 0-100</v>
      </c>
      <c r="C13" s="410">
        <f>Ref_table!C239</f>
        <v>24</v>
      </c>
      <c r="D13" s="410">
        <f>Ref_table!D239</f>
        <v>38</v>
      </c>
      <c r="E13" s="410">
        <f>Ref_table!E239</f>
        <v>55.00000000000001</v>
      </c>
      <c r="F13" s="410">
        <f>Ref_table!F239</f>
        <v>51</v>
      </c>
      <c r="G13" s="410">
        <f>Ref_table!G239</f>
        <v>76</v>
      </c>
      <c r="H13" s="410">
        <f>Ref_table!H239</f>
        <v>40</v>
      </c>
      <c r="I13" s="410">
        <f>Ref_table!I239</f>
        <v>45.737</v>
      </c>
      <c r="J13" s="410">
        <f>Ref_table!J239</f>
        <v>47</v>
      </c>
      <c r="K13" s="593">
        <f>Ref_table!K239</f>
        <v>46.3685</v>
      </c>
      <c r="L13" s="414">
        <f>Ref_table!L239</f>
        <v>35</v>
      </c>
      <c r="M13" s="433">
        <f>Ref_table!M239</f>
        <v>35</v>
      </c>
      <c r="N13" s="433">
        <f>Ref_table!N239</f>
        <v>35</v>
      </c>
      <c r="O13" s="596">
        <f>Ref_table!O239</f>
        <v>0</v>
      </c>
      <c r="P13" s="597">
        <f>Ref_table!P239</f>
        <v>0</v>
      </c>
      <c r="Q13" s="598">
        <f>Ref_table!Q239</f>
        <v>0</v>
      </c>
    </row>
    <row r="14" spans="1:17" ht="15.75">
      <c r="A14" s="413" t="str">
        <f>Ref_table!A240</f>
        <v>E6</v>
      </c>
      <c r="B14" s="574" t="str">
        <f>Ref_table!B240</f>
        <v>Species/biotopes diagnosis index, SBD t10 (~2005), 0-100</v>
      </c>
      <c r="C14" s="410">
        <f>Ref_table!C240</f>
        <v>23</v>
      </c>
      <c r="D14" s="410">
        <f>Ref_table!D240</f>
        <v>32</v>
      </c>
      <c r="E14" s="410">
        <f>Ref_table!E240</f>
        <v>53</v>
      </c>
      <c r="F14" s="410">
        <f>Ref_table!F240</f>
        <v>50</v>
      </c>
      <c r="G14" s="410">
        <f>Ref_table!G240</f>
        <v>73</v>
      </c>
      <c r="H14" s="410">
        <f>Ref_table!H240</f>
        <v>35</v>
      </c>
      <c r="I14" s="410">
        <f>Ref_table!I240</f>
        <v>42.158</v>
      </c>
      <c r="J14" s="410">
        <f>Ref_table!J240</f>
        <v>43</v>
      </c>
      <c r="K14" s="593">
        <f>Ref_table!K240</f>
        <v>42.579</v>
      </c>
      <c r="L14" s="414">
        <f>Ref_table!L240</f>
        <v>25</v>
      </c>
      <c r="M14" s="433">
        <f>Ref_table!M240</f>
        <v>25</v>
      </c>
      <c r="N14" s="433">
        <f>Ref_table!N240</f>
        <v>25</v>
      </c>
      <c r="O14" s="596">
        <f>Ref_table!O240</f>
        <v>0</v>
      </c>
      <c r="P14" s="597">
        <f>Ref_table!P240</f>
        <v>0</v>
      </c>
      <c r="Q14" s="598">
        <f>Ref_table!Q240</f>
        <v>0</v>
      </c>
    </row>
    <row r="15" spans="1:17" ht="15.75" thickBot="1">
      <c r="A15" s="63" t="str">
        <f>Ref_table!A241</f>
        <v>E6-E5</v>
      </c>
      <c r="B15" s="64" t="str">
        <f>Ref_table!B241</f>
        <v>Change in species/biotopes diagnosis index</v>
      </c>
      <c r="C15" s="64">
        <f>Ref_table!C241</f>
        <v>-1</v>
      </c>
      <c r="D15" s="64">
        <f>Ref_table!D241</f>
        <v>-6</v>
      </c>
      <c r="E15" s="64">
        <f>Ref_table!E241</f>
        <v>-2.000000000000007</v>
      </c>
      <c r="F15" s="64">
        <f>Ref_table!F241</f>
        <v>-1</v>
      </c>
      <c r="G15" s="64">
        <f>Ref_table!G241</f>
        <v>-3</v>
      </c>
      <c r="H15" s="64">
        <f>Ref_table!H241</f>
        <v>-5</v>
      </c>
      <c r="I15" s="742">
        <f>Ref_table!I241</f>
        <v>-3.5790000000000006</v>
      </c>
      <c r="J15" s="64">
        <f>Ref_table!J241</f>
        <v>-4</v>
      </c>
      <c r="K15" s="742">
        <f>Ref_table!K241</f>
        <v>-3.7894999999999968</v>
      </c>
      <c r="L15" s="743">
        <f>Ref_table!L241</f>
        <v>-10</v>
      </c>
      <c r="M15" s="343">
        <f>Ref_table!M241</f>
        <v>-10</v>
      </c>
      <c r="N15" s="744">
        <f>Ref_table!N241</f>
        <v>-10</v>
      </c>
      <c r="O15" s="745">
        <f>Ref_table!O241</f>
        <v>0</v>
      </c>
      <c r="P15" s="746">
        <f>Ref_table!P241</f>
        <v>0</v>
      </c>
      <c r="Q15" s="510">
        <f>Ref_table!Q241</f>
        <v>0</v>
      </c>
    </row>
    <row r="16" spans="1:17" ht="15.75">
      <c r="A16" s="1111" t="str">
        <f>Ref_table!A242</f>
        <v>Ecosystem's Biodiversity Rating</v>
      </c>
      <c r="B16" s="1060">
        <f>Ref_table!B242</f>
        <v>0</v>
      </c>
      <c r="C16" s="1060">
        <f>Ref_table!C242</f>
        <v>0</v>
      </c>
      <c r="D16" s="1060">
        <f>Ref_table!D242</f>
        <v>0</v>
      </c>
      <c r="E16" s="1060">
        <f>Ref_table!E242</f>
        <v>0</v>
      </c>
      <c r="F16" s="1060">
        <f>Ref_table!F242</f>
        <v>0</v>
      </c>
      <c r="G16" s="1060">
        <f>Ref_table!G242</f>
        <v>0</v>
      </c>
      <c r="H16" s="1060">
        <f>Ref_table!H242</f>
        <v>0</v>
      </c>
      <c r="I16" s="1060">
        <f>Ref_table!I242</f>
        <v>0</v>
      </c>
      <c r="J16" s="1060">
        <f>Ref_table!J242</f>
        <v>0</v>
      </c>
      <c r="K16" s="1061">
        <f>Ref_table!K242</f>
        <v>0</v>
      </c>
      <c r="L16" s="228">
        <f>Ref_table!L242</f>
        <v>0</v>
      </c>
      <c r="M16" s="731">
        <f>Ref_table!M242</f>
        <v>0</v>
      </c>
      <c r="N16" s="732">
        <f>Ref_table!N242</f>
        <v>0</v>
      </c>
      <c r="O16" s="338">
        <f>Ref_table!O242</f>
        <v>0</v>
      </c>
      <c r="P16" s="336">
        <f>Ref_table!P242</f>
        <v>0</v>
      </c>
      <c r="Q16" s="506">
        <f>Ref_table!Q242</f>
        <v>0</v>
      </c>
    </row>
    <row r="17" spans="1:17" ht="15">
      <c r="A17" s="73" t="str">
        <f>Ref_table!A243</f>
        <v>E11</v>
      </c>
      <c r="B17" s="37" t="str">
        <f>Ref_table!B243</f>
        <v>Mean Ecosystem Biodiversity Rating (EBR) t1 (~1995), weighted km^2 [SQRT E4*E6]</v>
      </c>
      <c r="C17" s="61">
        <f>Ref_table!C243</f>
        <v>13.387799417820334</v>
      </c>
      <c r="D17" s="61">
        <f>Ref_table!D243</f>
        <v>28.0375008923838</v>
      </c>
      <c r="E17" s="61">
        <f>Ref_table!E243</f>
        <v>38.75491731849147</v>
      </c>
      <c r="F17" s="61">
        <f>Ref_table!F243</f>
        <v>45.98479426644636</v>
      </c>
      <c r="G17" s="61">
        <f>Ref_table!G243</f>
        <v>64.03160452106198</v>
      </c>
      <c r="H17" s="61">
        <f>Ref_table!H243</f>
        <v>28.096749259788456</v>
      </c>
      <c r="I17" s="268">
        <f>Ref_table!I243</f>
        <v>35.00159777278387</v>
      </c>
      <c r="J17" s="61">
        <f>Ref_table!J243</f>
        <v>5.949834070085788</v>
      </c>
      <c r="K17" s="239">
        <f>Ref_table!K243</f>
        <v>20.475715921434826</v>
      </c>
      <c r="L17" s="341">
        <f>Ref_table!L243</f>
        <v>59.16079783099616</v>
      </c>
      <c r="M17" s="317">
        <f>Ref_table!M243</f>
        <v>59.16079783099616</v>
      </c>
      <c r="N17" s="330">
        <f>Ref_table!N243</f>
        <v>59.16079783099616</v>
      </c>
      <c r="O17" s="342">
        <f>Ref_table!O243</f>
        <v>0</v>
      </c>
      <c r="P17" s="504">
        <f>Ref_table!P243</f>
        <v>0</v>
      </c>
      <c r="Q17" s="393">
        <f>Ref_table!Q243</f>
        <v>0</v>
      </c>
    </row>
    <row r="18" spans="1:17" ht="15.75" thickBot="1">
      <c r="A18" s="74" t="str">
        <f>Ref_table!A244</f>
        <v>E12</v>
      </c>
      <c r="B18" s="67" t="str">
        <f>Ref_table!B244</f>
        <v>Mean Ecosystem Biodiversity Rating (EBR) t10 (~2005), weighted km^2 [SQRT E5*E7]</v>
      </c>
      <c r="C18" s="179">
        <f>Ref_table!C244</f>
        <v>12.686133043251985</v>
      </c>
      <c r="D18" s="179">
        <f>Ref_table!D244</f>
        <v>25.628843161613993</v>
      </c>
      <c r="E18" s="179">
        <f>Ref_table!E244</f>
        <v>37.292758438405</v>
      </c>
      <c r="F18" s="179">
        <f>Ref_table!F244</f>
        <v>45.7840303708307</v>
      </c>
      <c r="G18" s="179">
        <f>Ref_table!G244</f>
        <v>62.0415615410507</v>
      </c>
      <c r="H18" s="179">
        <f>Ref_table!H244</f>
        <v>25.999403505856936</v>
      </c>
      <c r="I18" s="275">
        <f>Ref_table!I244</f>
        <v>33.33489331280269</v>
      </c>
      <c r="J18" s="179">
        <f>Ref_table!J244</f>
        <v>5.476433520185777</v>
      </c>
      <c r="K18" s="263">
        <f>Ref_table!K244</f>
        <v>19.405663416494235</v>
      </c>
      <c r="L18" s="329">
        <f>Ref_table!L244</f>
        <v>50</v>
      </c>
      <c r="M18" s="343">
        <f>Ref_table!M244</f>
        <v>50</v>
      </c>
      <c r="N18" s="344">
        <f>Ref_table!N244</f>
        <v>50</v>
      </c>
      <c r="O18" s="345">
        <f>Ref_table!O244</f>
        <v>0</v>
      </c>
      <c r="P18" s="505">
        <f>Ref_table!P244</f>
        <v>0</v>
      </c>
      <c r="Q18" s="510">
        <f>Ref_table!Q244</f>
        <v>0</v>
      </c>
    </row>
    <row r="19" ht="15">
      <c r="A19" s="93"/>
    </row>
    <row r="20" ht="15">
      <c r="A20" s="93"/>
    </row>
  </sheetData>
  <sheetProtection/>
  <mergeCells count="8">
    <mergeCell ref="A12:K12"/>
    <mergeCell ref="A16:K16"/>
    <mergeCell ref="A3:B4"/>
    <mergeCell ref="C3:J3"/>
    <mergeCell ref="K3:K4"/>
    <mergeCell ref="L3:O3"/>
    <mergeCell ref="Q3:Q4"/>
    <mergeCell ref="A5:K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Jean-Louis</dc:creator>
  <cp:keywords/>
  <dc:description/>
  <cp:lastModifiedBy>Jean-Louis</cp:lastModifiedBy>
  <cp:lastPrinted>2011-09-09T17:23:54Z</cp:lastPrinted>
  <dcterms:created xsi:type="dcterms:W3CDTF">2011-06-25T15:09:13Z</dcterms:created>
  <dcterms:modified xsi:type="dcterms:W3CDTF">2011-11-11T08:30:28Z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